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V:\MTCMA\BUDGETS\2025 Budget\"/>
    </mc:Choice>
  </mc:AlternateContent>
  <xr:revisionPtr revIDLastSave="0" documentId="13_ncr:1_{70C50F98-6515-4042-A9F9-7F8A37C41EAA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Sheet1!$A$1:$AD$102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9" i="1" l="1"/>
  <c r="C74" i="1" s="1"/>
  <c r="C38" i="1"/>
  <c r="C11" i="1" s="1"/>
  <c r="C10" i="1"/>
  <c r="C58" i="1"/>
  <c r="C70" i="1" s="1"/>
  <c r="C15" i="1"/>
  <c r="C32" i="1"/>
  <c r="D32" i="1"/>
  <c r="D34" i="1" s="1"/>
  <c r="C95" i="1"/>
  <c r="C68" i="1"/>
  <c r="E44" i="1"/>
  <c r="E48" i="1"/>
  <c r="A52" i="1" s="1"/>
  <c r="C51" i="1"/>
  <c r="C34" i="1"/>
  <c r="E87" i="1"/>
  <c r="E45" i="1"/>
  <c r="E41" i="1"/>
  <c r="E40" i="1"/>
  <c r="E83" i="1"/>
  <c r="E74" i="1"/>
  <c r="E67" i="1"/>
  <c r="E62" i="1"/>
  <c r="E61" i="1"/>
  <c r="E59" i="1"/>
  <c r="E31" i="1"/>
  <c r="E29" i="1"/>
  <c r="E28" i="1"/>
  <c r="E30" i="1"/>
  <c r="E26" i="1"/>
  <c r="E25" i="1"/>
  <c r="E24" i="1"/>
  <c r="E23" i="1"/>
  <c r="E14" i="1"/>
  <c r="E10" i="1"/>
  <c r="D51" i="1"/>
  <c r="D53" i="1" s="1"/>
  <c r="G51" i="1"/>
  <c r="G53" i="1" s="1"/>
  <c r="G68" i="1"/>
  <c r="G70" i="1" s="1"/>
  <c r="G95" i="1"/>
  <c r="D95" i="1"/>
  <c r="D97" i="1" s="1"/>
  <c r="D68" i="1"/>
  <c r="D70" i="1" s="1"/>
  <c r="D17" i="1"/>
  <c r="D100" i="1" s="1"/>
  <c r="G32" i="1"/>
  <c r="G34" i="1" s="1"/>
  <c r="G17" i="1"/>
  <c r="G100" i="1" s="1"/>
  <c r="H95" i="1"/>
  <c r="C99" i="1" l="1"/>
  <c r="C39" i="1"/>
  <c r="C75" i="1" s="1"/>
  <c r="C97" i="1" s="1"/>
  <c r="E32" i="1"/>
  <c r="E34" i="1" s="1"/>
  <c r="E17" i="1"/>
  <c r="E100" i="1" s="1"/>
  <c r="E95" i="1"/>
  <c r="E97" i="1" s="1"/>
  <c r="E68" i="1"/>
  <c r="E70" i="1" s="1"/>
  <c r="E51" i="1"/>
  <c r="E53" i="1" s="1"/>
  <c r="D99" i="1"/>
  <c r="G99" i="1"/>
  <c r="G101" i="1" s="1"/>
  <c r="G97" i="1"/>
  <c r="H68" i="1"/>
  <c r="H57" i="1"/>
  <c r="F95" i="1"/>
  <c r="H97" i="1"/>
  <c r="F74" i="1"/>
  <c r="H17" i="1"/>
  <c r="H100" i="1" s="1"/>
  <c r="F68" i="1"/>
  <c r="F70" i="1" s="1"/>
  <c r="J68" i="1"/>
  <c r="H51" i="1"/>
  <c r="H53" i="1" s="1"/>
  <c r="F51" i="1"/>
  <c r="F53" i="1" s="1"/>
  <c r="F32" i="1"/>
  <c r="F34" i="1" s="1"/>
  <c r="H32" i="1"/>
  <c r="H34" i="1" s="1"/>
  <c r="F17" i="1"/>
  <c r="F100" i="1" s="1"/>
  <c r="J51" i="1"/>
  <c r="I95" i="1"/>
  <c r="J95" i="1"/>
  <c r="J97" i="1" s="1"/>
  <c r="C53" i="1" l="1"/>
  <c r="E99" i="1"/>
  <c r="E101" i="1" s="1"/>
  <c r="E102" i="1" s="1"/>
  <c r="G102" i="1"/>
  <c r="D101" i="1"/>
  <c r="D102" i="1" s="1"/>
  <c r="F97" i="1"/>
  <c r="H70" i="1"/>
  <c r="F99" i="1"/>
  <c r="F101" i="1" s="1"/>
  <c r="H99" i="1"/>
  <c r="H102" i="1" s="1"/>
  <c r="I97" i="1"/>
  <c r="J70" i="1"/>
  <c r="I68" i="1"/>
  <c r="I70" i="1" s="1"/>
  <c r="J53" i="1"/>
  <c r="I51" i="1"/>
  <c r="I53" i="1" s="1"/>
  <c r="J32" i="1"/>
  <c r="J99" i="1" s="1"/>
  <c r="I32" i="1"/>
  <c r="I34" i="1" s="1"/>
  <c r="I17" i="1"/>
  <c r="I100" i="1" s="1"/>
  <c r="J17" i="1"/>
  <c r="J100" i="1" s="1"/>
  <c r="K95" i="1"/>
  <c r="K97" i="1" s="1"/>
  <c r="L70" i="1"/>
  <c r="K68" i="1"/>
  <c r="K70" i="1" s="1"/>
  <c r="K51" i="1"/>
  <c r="K53" i="1" s="1"/>
  <c r="K32" i="1"/>
  <c r="K34" i="1" s="1"/>
  <c r="K17" i="1"/>
  <c r="K100" i="1" s="1"/>
  <c r="L95" i="1"/>
  <c r="L97" i="1" s="1"/>
  <c r="L51" i="1"/>
  <c r="L53" i="1" s="1"/>
  <c r="L32" i="1"/>
  <c r="L34" i="1" s="1"/>
  <c r="L17" i="1"/>
  <c r="L100" i="1" s="1"/>
  <c r="F102" i="1" l="1"/>
  <c r="J102" i="1"/>
  <c r="J34" i="1"/>
  <c r="I99" i="1"/>
  <c r="I102" i="1" s="1"/>
  <c r="K99" i="1"/>
  <c r="K102" i="1" s="1"/>
  <c r="L99" i="1"/>
  <c r="L102" i="1" s="1"/>
  <c r="N95" i="1" l="1"/>
  <c r="M95" i="1"/>
  <c r="M97" i="1" s="1"/>
  <c r="N68" i="1"/>
  <c r="N70" i="1" s="1"/>
  <c r="M68" i="1"/>
  <c r="M70" i="1" s="1"/>
  <c r="N51" i="1"/>
  <c r="N53" i="1" s="1"/>
  <c r="M51" i="1"/>
  <c r="M53" i="1" s="1"/>
  <c r="N32" i="1"/>
  <c r="N34" i="1" s="1"/>
  <c r="M32" i="1"/>
  <c r="M34" i="1" s="1"/>
  <c r="N17" i="1"/>
  <c r="N100" i="1" s="1"/>
  <c r="M17" i="1"/>
  <c r="M100" i="1" s="1"/>
  <c r="N97" i="1" l="1"/>
  <c r="N99" i="1"/>
  <c r="N102" i="1" s="1"/>
  <c r="M99" i="1"/>
  <c r="M102" i="1" s="1"/>
  <c r="R68" i="1"/>
  <c r="R70" i="1" s="1"/>
  <c r="O95" i="1"/>
  <c r="O97" i="1" s="1"/>
  <c r="O68" i="1"/>
  <c r="O70" i="1" s="1"/>
  <c r="O51" i="1"/>
  <c r="O53" i="1" s="1"/>
  <c r="O32" i="1"/>
  <c r="O34" i="1" s="1"/>
  <c r="O17" i="1"/>
  <c r="O99" i="1" l="1"/>
  <c r="O102" i="1" s="1"/>
  <c r="P95" i="1"/>
  <c r="P68" i="1"/>
  <c r="P70" i="1" s="1"/>
  <c r="P51" i="1"/>
  <c r="P53" i="1" s="1"/>
  <c r="P32" i="1"/>
  <c r="P34" i="1" s="1"/>
  <c r="P17" i="1"/>
  <c r="P97" i="1" l="1"/>
  <c r="P99" i="1"/>
  <c r="P102" i="1" s="1"/>
  <c r="Q95" i="1"/>
  <c r="Q17" i="1"/>
  <c r="Q68" i="1"/>
  <c r="Q70" i="1" s="1"/>
  <c r="Q51" i="1"/>
  <c r="Q53" i="1" s="1"/>
  <c r="Q32" i="1"/>
  <c r="Q34" i="1" s="1"/>
  <c r="Q99" i="1" l="1"/>
  <c r="Q102" i="1" s="1"/>
  <c r="Q97" i="1"/>
  <c r="R95" i="1"/>
  <c r="R97" i="1" s="1"/>
  <c r="R51" i="1"/>
  <c r="R53" i="1" s="1"/>
  <c r="R17" i="1"/>
  <c r="R32" i="1" l="1"/>
  <c r="R99" i="1" s="1"/>
  <c r="R102" i="1" s="1"/>
  <c r="R34" i="1" l="1"/>
  <c r="T68" i="1"/>
  <c r="T70" i="1" s="1"/>
  <c r="T74" i="1"/>
  <c r="T17" i="1"/>
  <c r="T95" i="1" l="1"/>
  <c r="S95" i="1"/>
  <c r="V95" i="1"/>
  <c r="V68" i="1"/>
  <c r="S68" i="1"/>
  <c r="S70" i="1" s="1"/>
  <c r="T51" i="1"/>
  <c r="T53" i="1" s="1"/>
  <c r="S51" i="1"/>
  <c r="S53" i="1" s="1"/>
  <c r="V51" i="1"/>
  <c r="V53" i="1" s="1"/>
  <c r="V32" i="1"/>
  <c r="V34" i="1" s="1"/>
  <c r="S32" i="1"/>
  <c r="S34" i="1" s="1"/>
  <c r="T32" i="1"/>
  <c r="T34" i="1" s="1"/>
  <c r="S17" i="1"/>
  <c r="V17" i="1"/>
  <c r="S99" i="1" l="1"/>
  <c r="S102" i="1" s="1"/>
  <c r="V97" i="1"/>
  <c r="V99" i="1"/>
  <c r="V102" i="1" s="1"/>
  <c r="T99" i="1"/>
  <c r="T102" i="1" s="1"/>
  <c r="S97" i="1"/>
  <c r="T97" i="1"/>
  <c r="U95" i="1"/>
  <c r="U97" i="1" s="1"/>
  <c r="U68" i="1"/>
  <c r="U70" i="1" s="1"/>
  <c r="U51" i="1"/>
  <c r="U53" i="1" s="1"/>
  <c r="U32" i="1"/>
  <c r="U34" i="1" s="1"/>
  <c r="U17" i="1"/>
  <c r="Y83" i="1" l="1"/>
  <c r="Y74" i="1"/>
  <c r="Y87" i="1"/>
  <c r="X95" i="1"/>
  <c r="X97" i="1" s="1"/>
  <c r="Y32" i="1"/>
  <c r="Y34" i="1" s="1"/>
  <c r="U99" i="1" l="1"/>
  <c r="U102" i="1" s="1"/>
  <c r="W17" i="1" l="1"/>
  <c r="W95" i="1" l="1"/>
  <c r="W68" i="1"/>
  <c r="W70" i="1" s="1"/>
  <c r="W51" i="1"/>
  <c r="W53" i="1" s="1"/>
  <c r="W32" i="1"/>
  <c r="W34" i="1" s="1"/>
  <c r="X32" i="1"/>
  <c r="X34" i="1" s="1"/>
  <c r="X68" i="1"/>
  <c r="X70" i="1" s="1"/>
  <c r="X51" i="1"/>
  <c r="X53" i="1" s="1"/>
  <c r="X17" i="1"/>
  <c r="Z74" i="1"/>
  <c r="Z87" i="1"/>
  <c r="Z95" i="1" s="1"/>
  <c r="Z38" i="1"/>
  <c r="Z21" i="1"/>
  <c r="Y95" i="1"/>
  <c r="Y97" i="1" s="1"/>
  <c r="Y68" i="1"/>
  <c r="Y70" i="1" s="1"/>
  <c r="Y51" i="1"/>
  <c r="Y53" i="1" s="1"/>
  <c r="Y17" i="1"/>
  <c r="AC68" i="1"/>
  <c r="AC70" i="1" s="1"/>
  <c r="AC51" i="1"/>
  <c r="AC53" i="1" s="1"/>
  <c r="AC32" i="1"/>
  <c r="AC34" i="1" s="1"/>
  <c r="AC95" i="1"/>
  <c r="AC97" i="1" s="1"/>
  <c r="AB95" i="1"/>
  <c r="AB97" i="1" s="1"/>
  <c r="AC17" i="1"/>
  <c r="AB17" i="1"/>
  <c r="Z17" i="1"/>
  <c r="AB68" i="1"/>
  <c r="AB70" i="1" s="1"/>
  <c r="AA95" i="1"/>
  <c r="AA97" i="1" s="1"/>
  <c r="AA68" i="1"/>
  <c r="AA70" i="1" s="1"/>
  <c r="AA51" i="1"/>
  <c r="AA53" i="1" s="1"/>
  <c r="AA32" i="1"/>
  <c r="AB51" i="1"/>
  <c r="AB53" i="1" s="1"/>
  <c r="AB32" i="1"/>
  <c r="AB34" i="1" s="1"/>
  <c r="AA17" i="1"/>
  <c r="Z68" i="1"/>
  <c r="Z70" i="1" s="1"/>
  <c r="Z51" i="1"/>
  <c r="Z32" i="1"/>
  <c r="Z34" i="1" l="1"/>
  <c r="X99" i="1"/>
  <c r="X102" i="1" s="1"/>
  <c r="W99" i="1"/>
  <c r="W102" i="1" s="1"/>
  <c r="W97" i="1"/>
  <c r="Z97" i="1"/>
  <c r="Z53" i="1"/>
  <c r="Y99" i="1"/>
  <c r="Y102" i="1" s="1"/>
  <c r="AA99" i="1"/>
  <c r="AA102" i="1" s="1"/>
  <c r="AA34" i="1"/>
  <c r="AB99" i="1"/>
  <c r="AB102" i="1" s="1"/>
  <c r="AC99" i="1"/>
  <c r="AC102" i="1" s="1"/>
  <c r="Z99" i="1"/>
  <c r="Z102" i="1" s="1"/>
  <c r="C17" i="1"/>
  <c r="C100" i="1" s="1"/>
  <c r="C101" i="1" l="1"/>
  <c r="C10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tc={423E6074-B5DC-4F27-89E7-77E5CBCF42FB}</author>
    <author>tc={2E06E4FB-1852-414A-8F1D-DC1D57758AB9}</author>
    <author>tc={79B712F0-6136-450F-8C01-B102E1122AE8}</author>
    <author>tc={0E650B2E-9E73-43A6-AEE0-856B74B44B04}</author>
    <author>tc={325179C8-98C5-44AB-8F6F-4195743752F5}</author>
  </authors>
  <commentList>
    <comment ref="H11" authorId="0" shapeId="0" xr:uid="{423E6074-B5DC-4F27-89E7-77E5CBCF42FB}">
      <text>
        <t>[Threaded comment]
Your version of Excel allows you to read this threaded comment; however, any edits to it will get removed if the file is opened in a newer version of Excel. Learn more: https://go.microsoft.com/fwlink/?linkid=870924
Comment:
    Per the Oct and Dec 22 financials rev was $22975.00 Alicia had this at 23,490.00</t>
      </text>
    </comment>
    <comment ref="G31" authorId="1" shapeId="0" xr:uid="{2E06E4FB-1852-414A-8F1D-DC1D57758AB9}">
      <text>
        <t>[Threaded comment]
Your version of Excel allows you to read this threaded comment; however, any edits to it will get removed if the file is opened in a newer version of Excel. Learn more: https://go.microsoft.com/fwlink/?linkid=870924
Comment:
    Alicia coded this to the board meeting 50499 - $99.56</t>
      </text>
    </comment>
    <comment ref="H38" authorId="2" shapeId="0" xr:uid="{79B712F0-6136-450F-8C01-B102E1122AE8}">
      <text>
        <t>[Threaded comment]
Your version of Excel allows you to read this threaded comment; however, any edits to it will get removed if the file is opened in a newer version of Excel. Learn more: https://go.microsoft.com/fwlink/?linkid=870924
Comment:
    Same comment as above. This number was more than what the financials show</t>
      </text>
    </comment>
    <comment ref="G47" authorId="3" shapeId="0" xr:uid="{0E650B2E-9E73-43A6-AEE0-856B74B44B04}">
      <text>
        <t>[Threaded comment]
Your version of Excel allows you to read this threaded comment; however, any edits to it will get removed if the file is opened in a newer version of Excel. Learn more: https://go.microsoft.com/fwlink/?linkid=870924
Comment:
    Starting in 2024 Entertainment expenses will now be classified under entertainment</t>
      </text>
    </comment>
    <comment ref="E76" authorId="4" shapeId="0" xr:uid="{325179C8-98C5-44AB-8F6F-4195743752F5}">
      <text>
        <t>[Threaded comment]
Your version of Excel allows you to read this threaded comment; however, any edits to it will get removed if the file is opened in a newer version of Excel. Learn more: https://go.microsoft.com/fwlink/?linkid=870924
Comment:
    3300 has been removed from this line pending reclassification to 50420 ref code 622</t>
      </text>
    </comment>
  </commentList>
</comments>
</file>

<file path=xl/sharedStrings.xml><?xml version="1.0" encoding="utf-8"?>
<sst xmlns="http://schemas.openxmlformats.org/spreadsheetml/2006/main" count="135" uniqueCount="75">
  <si>
    <t>Revenues</t>
  </si>
  <si>
    <t>Interest Income</t>
  </si>
  <si>
    <t>Member Dues</t>
  </si>
  <si>
    <t>Winter Interchange - Sponsors</t>
  </si>
  <si>
    <t>Summer Institute</t>
  </si>
  <si>
    <t>Postage</t>
  </si>
  <si>
    <t>Printing</t>
  </si>
  <si>
    <t>Photocopies</t>
  </si>
  <si>
    <t>Supplies</t>
  </si>
  <si>
    <t>Speakers</t>
  </si>
  <si>
    <t>Program</t>
  </si>
  <si>
    <t>Food &amp; Lodging</t>
  </si>
  <si>
    <t>Miscellaneous</t>
  </si>
  <si>
    <t>Staff Travel</t>
  </si>
  <si>
    <t>Miscellaneous Expenses</t>
  </si>
  <si>
    <t>Total Revenues</t>
  </si>
  <si>
    <t>Total Expense</t>
  </si>
  <si>
    <t>Contract Services - MMA</t>
  </si>
  <si>
    <t>Liability Insurance</t>
  </si>
  <si>
    <t xml:space="preserve">TOTAL EXPENSES </t>
  </si>
  <si>
    <t>Net Income(Loss)</t>
  </si>
  <si>
    <t>Budget Detail</t>
  </si>
  <si>
    <t>MTCMA Budget</t>
  </si>
  <si>
    <t>Reference Code = 620</t>
  </si>
  <si>
    <t>Reference Code = 621</t>
  </si>
  <si>
    <t xml:space="preserve"> </t>
  </si>
  <si>
    <t>Reference Code = 622</t>
  </si>
  <si>
    <t>Joint Winter Workshop/NH</t>
  </si>
  <si>
    <t>Reference Code = 628</t>
  </si>
  <si>
    <t>various</t>
  </si>
  <si>
    <t>Budget</t>
  </si>
  <si>
    <t>Actual</t>
  </si>
  <si>
    <t>Program Variance</t>
  </si>
  <si>
    <t>General Revenue/Expense Variance</t>
  </si>
  <si>
    <t>Travel</t>
  </si>
  <si>
    <t>Bank Fees</t>
  </si>
  <si>
    <t>ICMA Expenses</t>
  </si>
  <si>
    <t>Total Misc Expenses</t>
  </si>
  <si>
    <t>Interchange</t>
  </si>
  <si>
    <t>Institute</t>
  </si>
  <si>
    <t>Joint Workshop/NH</t>
  </si>
  <si>
    <t>change to senior advisor</t>
  </si>
  <si>
    <t>Ambassador Program</t>
  </si>
  <si>
    <t>need to add account #</t>
  </si>
  <si>
    <t>Sponsor</t>
  </si>
  <si>
    <t>change allocation to 10% interchange, 90% institute</t>
  </si>
  <si>
    <t>Interchange Sponsor</t>
  </si>
  <si>
    <t>Fund Balance - increase</t>
  </si>
  <si>
    <t>Sr Advisor Reimbursement</t>
  </si>
  <si>
    <t>Sr Advisor Program</t>
  </si>
  <si>
    <t>Student &amp; Intern Scholarships</t>
  </si>
  <si>
    <t>Web Page Development/Listserv</t>
  </si>
  <si>
    <t>Use of Fund Balance</t>
  </si>
  <si>
    <t>TOTAL REVENUE</t>
  </si>
  <si>
    <t>Communications (MailChimp, Advertising)</t>
  </si>
  <si>
    <t>2022</t>
  </si>
  <si>
    <t>2021</t>
  </si>
  <si>
    <t>Board/Officers/Committee Expenses</t>
  </si>
  <si>
    <t>2023</t>
  </si>
  <si>
    <t>Sponsorships</t>
  </si>
  <si>
    <t>as of 10/24/22</t>
  </si>
  <si>
    <t>2024</t>
  </si>
  <si>
    <t>as of 9/30/23</t>
  </si>
  <si>
    <t>Entertainment</t>
  </si>
  <si>
    <t>Women Leading Government</t>
  </si>
  <si>
    <t>YTD Actual</t>
  </si>
  <si>
    <t>as of 09/30/24</t>
  </si>
  <si>
    <t>Revenue (Registration)</t>
  </si>
  <si>
    <t>Institute Sponsor</t>
  </si>
  <si>
    <t>Exchange Sponsor</t>
  </si>
  <si>
    <t>Revenue (Dues/Interest Inc)</t>
  </si>
  <si>
    <t>REMOVE</t>
  </si>
  <si>
    <t>Institute Sponsors COMBINED W/40705</t>
  </si>
  <si>
    <t>Spring Interchange</t>
  </si>
  <si>
    <t>Social Activities (name change)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</si>
</sst>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u val="doubleAccounting"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b/>
      <u/>
      <sz val="10"/>
      <color rgb="FFFF0000"/>
      <name val="Arial"/>
      <family val="2"/>
    </font>
    <font>
      <b/>
      <sz val="10"/>
      <color rgb="FFFF0000"/>
      <name val="Arial"/>
      <family val="2"/>
    </font>
    <font>
      <strike/>
      <sz val="10"/>
      <name val="Arial"/>
      <family val="2"/>
    </font>
    <font>
      <strike/>
      <sz val="10"/>
      <color rgb="FFFF0000"/>
      <name val="Arial"/>
      <family val="2"/>
    </font>
    <font>
      <strike/>
      <sz val="8"/>
      <name val="Arial"/>
      <family val="2"/>
    </font>
    <font>
      <i/>
      <sz val="5"/>
      <color rgb="FFFF0000"/>
      <name val="Arial"/>
      <family val="2"/>
    </font>
    <font>
      <i/>
      <sz val="5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8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2" fontId="0" fillId="0" borderId="0" xfId="1" applyNumberFormat="1" applyFont="1"/>
    <xf numFmtId="2" fontId="0" fillId="0" borderId="0" xfId="0" applyNumberForma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4" fontId="4" fillId="0" borderId="0" xfId="0" applyNumberFormat="1" applyFont="1"/>
    <xf numFmtId="44" fontId="0" fillId="0" borderId="0" xfId="2" applyFont="1"/>
    <xf numFmtId="0" fontId="5" fillId="0" borderId="0" xfId="0" applyFont="1"/>
    <xf numFmtId="0" fontId="2" fillId="0" borderId="0" xfId="0" applyFont="1"/>
    <xf numFmtId="4" fontId="0" fillId="0" borderId="0" xfId="0" applyNumberFormat="1"/>
    <xf numFmtId="4" fontId="3" fillId="0" borderId="0" xfId="0" applyNumberFormat="1" applyFont="1" applyAlignment="1">
      <alignment horizontal="center"/>
    </xf>
    <xf numFmtId="4" fontId="0" fillId="0" borderId="0" xfId="0" applyNumberFormat="1" applyAlignment="1">
      <alignment horizontal="center"/>
    </xf>
    <xf numFmtId="4" fontId="4" fillId="0" borderId="0" xfId="0" applyNumberFormat="1" applyFont="1"/>
    <xf numFmtId="4" fontId="0" fillId="0" borderId="0" xfId="2" applyNumberFormat="1" applyFont="1"/>
    <xf numFmtId="8" fontId="0" fillId="0" borderId="0" xfId="0" applyNumberFormat="1"/>
    <xf numFmtId="44" fontId="5" fillId="0" borderId="0" xfId="0" applyNumberFormat="1" applyFont="1"/>
    <xf numFmtId="8" fontId="5" fillId="0" borderId="0" xfId="0" applyNumberFormat="1" applyFont="1"/>
    <xf numFmtId="0" fontId="6" fillId="0" borderId="0" xfId="0" applyFont="1"/>
    <xf numFmtId="40" fontId="0" fillId="0" borderId="0" xfId="0" applyNumberFormat="1"/>
    <xf numFmtId="40" fontId="4" fillId="0" borderId="0" xfId="0" applyNumberFormat="1" applyFont="1"/>
    <xf numFmtId="43" fontId="0" fillId="0" borderId="0" xfId="0" applyNumberFormat="1"/>
    <xf numFmtId="43" fontId="0" fillId="0" borderId="1" xfId="0" applyNumberFormat="1" applyBorder="1"/>
    <xf numFmtId="43" fontId="0" fillId="0" borderId="1" xfId="0" applyNumberFormat="1" applyBorder="1" applyAlignment="1">
      <alignment horizontal="right"/>
    </xf>
    <xf numFmtId="43" fontId="5" fillId="0" borderId="1" xfId="0" applyNumberFormat="1" applyFont="1" applyBorder="1"/>
    <xf numFmtId="43" fontId="0" fillId="0" borderId="1" xfId="1" applyFont="1" applyFill="1" applyBorder="1"/>
    <xf numFmtId="43" fontId="0" fillId="0" borderId="1" xfId="1" applyFont="1" applyBorder="1"/>
    <xf numFmtId="43" fontId="5" fillId="0" borderId="1" xfId="1" applyFont="1" applyBorder="1"/>
    <xf numFmtId="43" fontId="5" fillId="0" borderId="1" xfId="1" applyFont="1" applyFill="1" applyBorder="1"/>
    <xf numFmtId="43" fontId="6" fillId="0" borderId="1" xfId="0" applyNumberFormat="1" applyFont="1" applyBorder="1"/>
    <xf numFmtId="43" fontId="4" fillId="0" borderId="0" xfId="2" applyNumberFormat="1" applyFont="1"/>
    <xf numFmtId="43" fontId="4" fillId="0" borderId="0" xfId="0" applyNumberFormat="1" applyFont="1"/>
    <xf numFmtId="43" fontId="2" fillId="0" borderId="1" xfId="0" applyNumberFormat="1" applyFont="1" applyBorder="1" applyAlignment="1">
      <alignment horizontal="right"/>
    </xf>
    <xf numFmtId="43" fontId="2" fillId="0" borderId="0" xfId="0" applyNumberFormat="1" applyFont="1" applyAlignment="1">
      <alignment horizontal="right"/>
    </xf>
    <xf numFmtId="43" fontId="3" fillId="0" borderId="0" xfId="0" applyNumberFormat="1" applyFont="1"/>
    <xf numFmtId="43" fontId="5" fillId="0" borderId="0" xfId="0" applyNumberFormat="1" applyFont="1"/>
    <xf numFmtId="43" fontId="2" fillId="0" borderId="1" xfId="0" applyNumberFormat="1" applyFont="1" applyBorder="1"/>
    <xf numFmtId="4" fontId="2" fillId="0" borderId="1" xfId="0" applyNumberFormat="1" applyFont="1" applyBorder="1"/>
    <xf numFmtId="0" fontId="7" fillId="0" borderId="0" xfId="0" applyFont="1"/>
    <xf numFmtId="0" fontId="0" fillId="0" borderId="0" xfId="0" applyAlignment="1">
      <alignment wrapText="1"/>
    </xf>
    <xf numFmtId="0" fontId="7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0" fillId="0" borderId="1" xfId="0" applyBorder="1"/>
    <xf numFmtId="0" fontId="5" fillId="0" borderId="1" xfId="0" applyFont="1" applyBorder="1"/>
    <xf numFmtId="0" fontId="2" fillId="0" borderId="1" xfId="0" applyFont="1" applyBorder="1" applyAlignment="1">
      <alignment horizontal="right"/>
    </xf>
    <xf numFmtId="43" fontId="5" fillId="2" borderId="1" xfId="0" applyNumberFormat="1" applyFont="1" applyFill="1" applyBorder="1"/>
    <xf numFmtId="0" fontId="0" fillId="2" borderId="0" xfId="0" applyFill="1"/>
    <xf numFmtId="0" fontId="2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43" fontId="0" fillId="2" borderId="1" xfId="0" applyNumberFormat="1" applyFill="1" applyBorder="1"/>
    <xf numFmtId="43" fontId="4" fillId="2" borderId="0" xfId="2" applyNumberFormat="1" applyFont="1" applyFill="1"/>
    <xf numFmtId="43" fontId="0" fillId="2" borderId="0" xfId="0" applyNumberFormat="1" applyFill="1"/>
    <xf numFmtId="4" fontId="0" fillId="0" borderId="1" xfId="0" applyNumberFormat="1" applyBorder="1"/>
    <xf numFmtId="4" fontId="5" fillId="0" borderId="1" xfId="0" applyNumberFormat="1" applyFont="1" applyBorder="1"/>
    <xf numFmtId="4" fontId="2" fillId="0" borderId="1" xfId="0" applyNumberFormat="1" applyFont="1" applyBorder="1" applyAlignment="1">
      <alignment horizontal="right"/>
    </xf>
    <xf numFmtId="4" fontId="5" fillId="0" borderId="1" xfId="0" applyNumberFormat="1" applyFont="1" applyBorder="1" applyAlignment="1">
      <alignment horizontal="right"/>
    </xf>
    <xf numFmtId="4" fontId="0" fillId="0" borderId="1" xfId="0" applyNumberFormat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3" fontId="0" fillId="2" borderId="1" xfId="1" applyFont="1" applyFill="1" applyBorder="1"/>
    <xf numFmtId="43" fontId="5" fillId="2" borderId="1" xfId="1" applyFont="1" applyFill="1" applyBorder="1"/>
    <xf numFmtId="0" fontId="0" fillId="2" borderId="0" xfId="0" applyFill="1" applyAlignment="1">
      <alignment wrapText="1"/>
    </xf>
    <xf numFmtId="4" fontId="6" fillId="0" borderId="1" xfId="0" applyNumberFormat="1" applyFont="1" applyBorder="1"/>
    <xf numFmtId="44" fontId="5" fillId="0" borderId="0" xfId="2" applyFont="1"/>
    <xf numFmtId="44" fontId="2" fillId="0" borderId="0" xfId="0" applyNumberFormat="1" applyFont="1" applyAlignment="1">
      <alignment horizontal="right"/>
    </xf>
    <xf numFmtId="44" fontId="5" fillId="0" borderId="1" xfId="2" applyFont="1" applyBorder="1"/>
    <xf numFmtId="44" fontId="0" fillId="0" borderId="1" xfId="2" applyFont="1" applyBorder="1"/>
    <xf numFmtId="44" fontId="2" fillId="0" borderId="1" xfId="2" applyFont="1" applyBorder="1" applyAlignment="1">
      <alignment horizontal="right"/>
    </xf>
    <xf numFmtId="44" fontId="2" fillId="0" borderId="1" xfId="0" applyNumberFormat="1" applyFont="1" applyBorder="1" applyAlignment="1">
      <alignment horizontal="right"/>
    </xf>
    <xf numFmtId="44" fontId="5" fillId="0" borderId="1" xfId="2" applyFont="1" applyFill="1" applyBorder="1" applyAlignment="1">
      <alignment horizontal="left"/>
    </xf>
    <xf numFmtId="44" fontId="5" fillId="2" borderId="1" xfId="2" applyFont="1" applyFill="1" applyBorder="1"/>
    <xf numFmtId="44" fontId="6" fillId="0" borderId="1" xfId="2" applyFont="1" applyBorder="1"/>
    <xf numFmtId="44" fontId="2" fillId="0" borderId="0" xfId="2" applyFont="1"/>
    <xf numFmtId="44" fontId="2" fillId="0" borderId="1" xfId="2" applyFont="1" applyBorder="1"/>
    <xf numFmtId="43" fontId="2" fillId="2" borderId="1" xfId="0" applyNumberFormat="1" applyFont="1" applyFill="1" applyBorder="1"/>
    <xf numFmtId="0" fontId="2" fillId="0" borderId="0" xfId="0" applyFont="1" applyAlignment="1">
      <alignment wrapText="1"/>
    </xf>
    <xf numFmtId="44" fontId="0" fillId="0" borderId="1" xfId="2" applyFont="1" applyFill="1" applyBorder="1"/>
    <xf numFmtId="44" fontId="5" fillId="0" borderId="1" xfId="2" applyFont="1" applyFill="1" applyBorder="1"/>
    <xf numFmtId="44" fontId="2" fillId="0" borderId="1" xfId="2" applyFont="1" applyFill="1" applyBorder="1" applyAlignment="1">
      <alignment horizontal="right"/>
    </xf>
    <xf numFmtId="44" fontId="6" fillId="0" borderId="1" xfId="2" applyFont="1" applyFill="1" applyBorder="1"/>
    <xf numFmtId="44" fontId="2" fillId="0" borderId="1" xfId="0" applyNumberFormat="1" applyFont="1" applyBorder="1"/>
    <xf numFmtId="44" fontId="2" fillId="0" borderId="0" xfId="0" applyNumberFormat="1" applyFont="1"/>
    <xf numFmtId="44" fontId="3" fillId="0" borderId="0" xfId="2" applyFont="1"/>
    <xf numFmtId="44" fontId="2" fillId="0" borderId="0" xfId="2" applyFont="1" applyAlignment="1">
      <alignment horizontal="right"/>
    </xf>
    <xf numFmtId="44" fontId="6" fillId="0" borderId="0" xfId="2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44" fontId="8" fillId="0" borderId="0" xfId="2" applyFont="1"/>
    <xf numFmtId="44" fontId="9" fillId="0" borderId="0" xfId="2" applyFont="1" applyAlignment="1">
      <alignment horizontal="right"/>
    </xf>
    <xf numFmtId="0" fontId="1" fillId="0" borderId="0" xfId="0" applyFont="1"/>
    <xf numFmtId="44" fontId="1" fillId="0" borderId="1" xfId="2" applyFont="1" applyBorder="1"/>
    <xf numFmtId="44" fontId="9" fillId="0" borderId="1" xfId="2" applyFont="1" applyBorder="1" applyAlignment="1">
      <alignment horizontal="right"/>
    </xf>
    <xf numFmtId="44" fontId="1" fillId="0" borderId="1" xfId="2" applyFont="1" applyFill="1" applyBorder="1" applyAlignment="1">
      <alignment horizontal="left"/>
    </xf>
    <xf numFmtId="44" fontId="1" fillId="2" borderId="1" xfId="2" applyFont="1" applyFill="1" applyBorder="1"/>
    <xf numFmtId="44" fontId="1" fillId="0" borderId="0" xfId="2" applyFont="1"/>
    <xf numFmtId="44" fontId="1" fillId="0" borderId="1" xfId="2" applyFont="1" applyFill="1" applyBorder="1"/>
    <xf numFmtId="44" fontId="5" fillId="0" borderId="2" xfId="2" applyFont="1" applyBorder="1"/>
    <xf numFmtId="44" fontId="0" fillId="0" borderId="2" xfId="2" applyFont="1" applyBorder="1"/>
    <xf numFmtId="44" fontId="6" fillId="0" borderId="2" xfId="2" applyFont="1" applyBorder="1"/>
    <xf numFmtId="44" fontId="2" fillId="0" borderId="2" xfId="2" applyFont="1" applyBorder="1"/>
    <xf numFmtId="44" fontId="3" fillId="0" borderId="0" xfId="2" applyFont="1" applyAlignment="1">
      <alignment horizontal="center"/>
    </xf>
    <xf numFmtId="49" fontId="2" fillId="0" borderId="0" xfId="2" applyNumberFormat="1" applyFont="1" applyAlignment="1">
      <alignment horizontal="center"/>
    </xf>
    <xf numFmtId="0" fontId="10" fillId="0" borderId="0" xfId="0" applyFont="1"/>
    <xf numFmtId="44" fontId="10" fillId="0" borderId="1" xfId="2" applyFont="1" applyBorder="1"/>
    <xf numFmtId="44" fontId="11" fillId="0" borderId="1" xfId="2" applyFont="1" applyBorder="1"/>
    <xf numFmtId="44" fontId="10" fillId="0" borderId="2" xfId="2" applyFont="1" applyBorder="1"/>
    <xf numFmtId="44" fontId="10" fillId="0" borderId="1" xfId="2" applyFont="1" applyFill="1" applyBorder="1"/>
    <xf numFmtId="4" fontId="10" fillId="0" borderId="1" xfId="0" applyNumberFormat="1" applyFont="1" applyBorder="1"/>
    <xf numFmtId="43" fontId="10" fillId="0" borderId="1" xfId="0" applyNumberFormat="1" applyFont="1" applyBorder="1"/>
    <xf numFmtId="43" fontId="10" fillId="2" borderId="1" xfId="0" applyNumberFormat="1" applyFont="1" applyFill="1" applyBorder="1"/>
    <xf numFmtId="0" fontId="12" fillId="0" borderId="0" xfId="0" applyFont="1" applyAlignment="1">
      <alignment wrapText="1"/>
    </xf>
    <xf numFmtId="0" fontId="12" fillId="0" borderId="0" xfId="0" applyFont="1"/>
    <xf numFmtId="44" fontId="1" fillId="0" borderId="0" xfId="2" applyFont="1" applyAlignment="1">
      <alignment horizontal="center"/>
    </xf>
    <xf numFmtId="44" fontId="3" fillId="0" borderId="0" xfId="2" applyFont="1" applyAlignment="1">
      <alignment horizontal="center" wrapText="1"/>
    </xf>
    <xf numFmtId="44" fontId="13" fillId="0" borderId="0" xfId="2" applyFont="1" applyAlignment="1">
      <alignment horizontal="center" vertical="top"/>
    </xf>
    <xf numFmtId="44" fontId="5" fillId="0" borderId="2" xfId="2" applyFont="1" applyFill="1" applyBorder="1"/>
    <xf numFmtId="44" fontId="6" fillId="2" borderId="1" xfId="2" applyFont="1" applyFill="1" applyBorder="1"/>
    <xf numFmtId="44" fontId="0" fillId="2" borderId="1" xfId="2" applyFont="1" applyFill="1" applyBorder="1"/>
    <xf numFmtId="0" fontId="10" fillId="2" borderId="1" xfId="0" applyFont="1" applyFill="1" applyBorder="1"/>
    <xf numFmtId="44" fontId="2" fillId="2" borderId="1" xfId="2" applyFont="1" applyFill="1" applyBorder="1" applyAlignment="1">
      <alignment horizontal="right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3" fillId="2" borderId="0" xfId="0" applyFont="1" applyFill="1"/>
    <xf numFmtId="0" fontId="2" fillId="2" borderId="0" xfId="0" applyFont="1" applyFill="1" applyAlignment="1">
      <alignment horizontal="right"/>
    </xf>
    <xf numFmtId="0" fontId="2" fillId="2" borderId="1" xfId="0" applyFont="1" applyFill="1" applyBorder="1" applyAlignment="1">
      <alignment horizontal="right"/>
    </xf>
    <xf numFmtId="44" fontId="1" fillId="2" borderId="1" xfId="2" applyFont="1" applyFill="1" applyBorder="1" applyAlignment="1">
      <alignment horizontal="left"/>
    </xf>
    <xf numFmtId="44" fontId="1" fillId="2" borderId="1" xfId="0" applyNumberFormat="1" applyFont="1" applyFill="1" applyBorder="1"/>
    <xf numFmtId="44" fontId="2" fillId="2" borderId="2" xfId="2" applyFont="1" applyFill="1" applyBorder="1" applyAlignment="1">
      <alignment horizontal="right"/>
    </xf>
    <xf numFmtId="0" fontId="1" fillId="2" borderId="1" xfId="0" applyFont="1" applyFill="1" applyBorder="1"/>
    <xf numFmtId="44" fontId="2" fillId="2" borderId="1" xfId="0" applyNumberFormat="1" applyFont="1" applyFill="1" applyBorder="1"/>
    <xf numFmtId="44" fontId="2" fillId="2" borderId="1" xfId="2" applyFont="1" applyFill="1" applyBorder="1"/>
    <xf numFmtId="44" fontId="2" fillId="2" borderId="1" xfId="0" applyNumberFormat="1" applyFont="1" applyFill="1" applyBorder="1" applyAlignment="1">
      <alignment horizontal="right"/>
    </xf>
    <xf numFmtId="44" fontId="5" fillId="2" borderId="1" xfId="2" applyFont="1" applyFill="1" applyBorder="1" applyAlignment="1">
      <alignment horizontal="left"/>
    </xf>
    <xf numFmtId="44" fontId="15" fillId="2" borderId="1" xfId="2" applyFont="1" applyFill="1" applyBorder="1"/>
    <xf numFmtId="0" fontId="0" fillId="4" borderId="0" xfId="0" applyFill="1"/>
    <xf numFmtId="0" fontId="3" fillId="4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2" fillId="4" borderId="0" xfId="0" applyFont="1" applyFill="1" applyAlignment="1">
      <alignment horizontal="center" vertical="center"/>
    </xf>
    <xf numFmtId="0" fontId="2" fillId="4" borderId="0" xfId="0" applyFont="1" applyFill="1"/>
    <xf numFmtId="0" fontId="3" fillId="4" borderId="0" xfId="0" applyFont="1" applyFill="1" applyAlignment="1">
      <alignment horizontal="center" vertical="center"/>
    </xf>
    <xf numFmtId="0" fontId="3" fillId="4" borderId="0" xfId="0" applyFont="1" applyFill="1"/>
    <xf numFmtId="44" fontId="0" fillId="4" borderId="1" xfId="2" applyFont="1" applyFill="1" applyBorder="1"/>
    <xf numFmtId="0" fontId="5" fillId="4" borderId="0" xfId="0" applyFont="1" applyFill="1"/>
    <xf numFmtId="44" fontId="5" fillId="4" borderId="1" xfId="2" applyFont="1" applyFill="1" applyBorder="1"/>
    <xf numFmtId="0" fontId="6" fillId="4" borderId="0" xfId="0" applyFont="1" applyFill="1"/>
    <xf numFmtId="0" fontId="1" fillId="4" borderId="0" xfId="0" applyFont="1" applyFill="1"/>
    <xf numFmtId="44" fontId="1" fillId="4" borderId="1" xfId="2" applyFont="1" applyFill="1" applyBorder="1"/>
    <xf numFmtId="0" fontId="2" fillId="4" borderId="0" xfId="0" applyFont="1" applyFill="1" applyAlignment="1">
      <alignment horizontal="right"/>
    </xf>
    <xf numFmtId="44" fontId="2" fillId="4" borderId="1" xfId="2" applyFont="1" applyFill="1" applyBorder="1" applyAlignment="1">
      <alignment horizontal="right"/>
    </xf>
    <xf numFmtId="0" fontId="1" fillId="4" borderId="0" xfId="0" applyFont="1" applyFill="1" applyAlignment="1">
      <alignment horizontal="left"/>
    </xf>
    <xf numFmtId="44" fontId="5" fillId="4" borderId="1" xfId="2" applyFont="1" applyFill="1" applyBorder="1" applyAlignment="1">
      <alignment horizontal="left"/>
    </xf>
    <xf numFmtId="44" fontId="6" fillId="4" borderId="1" xfId="2" applyFont="1" applyFill="1" applyBorder="1"/>
    <xf numFmtId="0" fontId="0" fillId="4" borderId="0" xfId="2" applyNumberFormat="1" applyFont="1" applyFill="1"/>
    <xf numFmtId="0" fontId="2" fillId="4" borderId="1" xfId="0" applyFont="1" applyFill="1" applyBorder="1" applyAlignment="1">
      <alignment horizontal="right"/>
    </xf>
    <xf numFmtId="0" fontId="6" fillId="4" borderId="0" xfId="0" applyFont="1" applyFill="1" applyAlignment="1">
      <alignment horizontal="right"/>
    </xf>
    <xf numFmtId="44" fontId="2" fillId="4" borderId="1" xfId="0" applyNumberFormat="1" applyFont="1" applyFill="1" applyBorder="1"/>
    <xf numFmtId="0" fontId="5" fillId="4" borderId="0" xfId="0" applyFont="1" applyFill="1" applyAlignment="1">
      <alignment horizontal="right"/>
    </xf>
    <xf numFmtId="44" fontId="2" fillId="4" borderId="1" xfId="2" applyFont="1" applyFill="1" applyBorder="1"/>
    <xf numFmtId="44" fontId="2" fillId="4" borderId="1" xfId="0" applyNumberFormat="1" applyFont="1" applyFill="1" applyBorder="1" applyAlignment="1">
      <alignment horizontal="right"/>
    </xf>
    <xf numFmtId="0" fontId="1" fillId="3" borderId="0" xfId="0" applyFont="1" applyFill="1"/>
    <xf numFmtId="44" fontId="0" fillId="2" borderId="0" xfId="2" applyFont="1" applyFill="1"/>
    <xf numFmtId="44" fontId="3" fillId="2" borderId="0" xfId="2" applyFont="1" applyFill="1" applyAlignment="1">
      <alignment horizontal="center"/>
    </xf>
    <xf numFmtId="0" fontId="0" fillId="2" borderId="0" xfId="0" applyFill="1" applyAlignment="1">
      <alignment horizontal="center"/>
    </xf>
    <xf numFmtId="44" fontId="0" fillId="2" borderId="0" xfId="2" applyFont="1" applyFill="1" applyAlignment="1">
      <alignment horizontal="center"/>
    </xf>
    <xf numFmtId="49" fontId="2" fillId="2" borderId="0" xfId="2" applyNumberFormat="1" applyFont="1" applyFill="1" applyAlignment="1">
      <alignment horizontal="center"/>
    </xf>
    <xf numFmtId="44" fontId="3" fillId="2" borderId="0" xfId="2" applyFont="1" applyFill="1" applyAlignment="1">
      <alignment horizontal="center" wrapText="1"/>
    </xf>
    <xf numFmtId="44" fontId="14" fillId="2" borderId="0" xfId="2" applyFont="1" applyFill="1" applyAlignment="1">
      <alignment horizontal="center" vertical="top"/>
    </xf>
    <xf numFmtId="44" fontId="13" fillId="2" borderId="0" xfId="2" applyFont="1" applyFill="1" applyAlignment="1">
      <alignment horizontal="center" vertical="top"/>
    </xf>
    <xf numFmtId="44" fontId="3" fillId="2" borderId="0" xfId="2" applyFont="1" applyFill="1"/>
    <xf numFmtId="44" fontId="2" fillId="2" borderId="0" xfId="2" applyFont="1" applyFill="1" applyAlignment="1">
      <alignment horizontal="right"/>
    </xf>
    <xf numFmtId="44" fontId="9" fillId="2" borderId="0" xfId="2" applyFont="1" applyFill="1" applyAlignment="1">
      <alignment horizontal="right"/>
    </xf>
    <xf numFmtId="44" fontId="5" fillId="2" borderId="2" xfId="2" applyFont="1" applyFill="1" applyBorder="1"/>
    <xf numFmtId="44" fontId="0" fillId="2" borderId="2" xfId="2" applyFont="1" applyFill="1" applyBorder="1"/>
    <xf numFmtId="0" fontId="2" fillId="2" borderId="2" xfId="0" applyFont="1" applyFill="1" applyBorder="1" applyAlignment="1">
      <alignment horizontal="right"/>
    </xf>
    <xf numFmtId="44" fontId="5" fillId="2" borderId="1" xfId="0" applyNumberFormat="1" applyFont="1" applyFill="1" applyBorder="1"/>
    <xf numFmtId="44" fontId="10" fillId="2" borderId="1" xfId="2" applyFont="1" applyFill="1" applyBorder="1"/>
    <xf numFmtId="0" fontId="6" fillId="2" borderId="1" xfId="0" applyFont="1" applyFill="1" applyBorder="1"/>
    <xf numFmtId="44" fontId="5" fillId="2" borderId="0" xfId="2" applyFont="1" applyFill="1"/>
    <xf numFmtId="0" fontId="5" fillId="2" borderId="1" xfId="0" applyFont="1" applyFill="1" applyBorder="1"/>
    <xf numFmtId="0" fontId="6" fillId="3" borderId="0" xfId="0" applyFont="1" applyFill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elissa White" id="{561D0FA0-59F3-4BFB-9FDF-3A5C7025EC90}" userId="S-1-5-21-2103181842-1742873973-267911869-7849" providerId="AD"/>
  <person displayName="Melissa White" id="{D4A12D54-B32E-4C90-AA06-84C0C493487B}" userId="S::mwhite@memun.org::3ea89db9-776a-4955-822a-4ad0ff2ba5b6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11" dT="2023-11-14T19:38:14.26" personId="{561D0FA0-59F3-4BFB-9FDF-3A5C7025EC90}" id="{423E6074-B5DC-4F27-89E7-77E5CBCF42FB}">
    <text>Per the Oct and Dec 22 financials rev was $22975.00 Alicia had this at 23,490.00</text>
  </threadedComment>
  <threadedComment ref="G31" dT="2023-11-14T19:31:11.25" personId="{561D0FA0-59F3-4BFB-9FDF-3A5C7025EC90}" id="{2E06E4FB-1852-414A-8F1D-DC1D57758AB9}">
    <text>Alicia coded this to the board meeting 50499 - $99.56</text>
  </threadedComment>
  <threadedComment ref="H38" dT="2023-11-14T19:42:20.86" personId="{561D0FA0-59F3-4BFB-9FDF-3A5C7025EC90}" id="{79B712F0-6136-450F-8C01-B102E1122AE8}">
    <text>Same comment as above. This number was more than what the financials show</text>
  </threadedComment>
  <threadedComment ref="G47" dT="2023-11-14T19:28:32.13" personId="{561D0FA0-59F3-4BFB-9FDF-3A5C7025EC90}" id="{0E650B2E-9E73-43A6-AEE0-856B74B44B04}">
    <text>Starting in 2024 Entertainment expenses will now be classified under entertainment</text>
  </threadedComment>
  <threadedComment ref="E76" dT="2024-10-09T13:26:19.83" personId="{D4A12D54-B32E-4C90-AA06-84C0C493487B}" id="{325179C8-98C5-44AB-8F6F-4195743752F5}">
    <text>3300 has been removed from this line pending reclassification to 50420 ref code 622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3"/>
  <sheetViews>
    <sheetView tabSelected="1" zoomScale="160" zoomScaleNormal="160" zoomScaleSheetLayoutView="100" workbookViewId="0">
      <pane ySplit="5" topLeftCell="A6" activePane="bottomLeft" state="frozen"/>
      <selection pane="bottomLeft" activeCell="A93" sqref="A93"/>
    </sheetView>
  </sheetViews>
  <sheetFormatPr defaultRowHeight="12.75" customHeight="1" x14ac:dyDescent="0.2"/>
  <cols>
    <col min="1" max="1" width="10.140625" style="135" customWidth="1"/>
    <col min="2" max="2" width="36" style="135" customWidth="1"/>
    <col min="3" max="3" width="12.85546875" style="135" bestFit="1" customWidth="1"/>
    <col min="4" max="5" width="14" style="48" customWidth="1"/>
    <col min="6" max="6" width="12.85546875" style="48" bestFit="1" customWidth="1"/>
    <col min="7" max="7" width="12.85546875" style="48" customWidth="1"/>
    <col min="8" max="8" width="16.5703125" style="121" customWidth="1"/>
    <col min="9" max="9" width="12.85546875" style="48" bestFit="1" customWidth="1"/>
    <col min="10" max="10" width="12.42578125" style="48" bestFit="1" customWidth="1"/>
    <col min="11" max="11" width="12.85546875" style="161" bestFit="1" customWidth="1"/>
    <col min="12" max="12" width="11.7109375" style="95" bestFit="1" customWidth="1"/>
    <col min="13" max="13" width="18.28515625" customWidth="1"/>
    <col min="14" max="14" width="17.5703125" style="20" customWidth="1"/>
    <col min="15" max="15" width="18.28515625" customWidth="1"/>
    <col min="16" max="16" width="17.5703125" style="20" customWidth="1"/>
    <col min="17" max="17" width="18.28515625" customWidth="1"/>
    <col min="18" max="18" width="17.5703125" style="20" customWidth="1"/>
    <col min="19" max="20" width="17.85546875" customWidth="1"/>
    <col min="21" max="22" width="18.85546875" customWidth="1"/>
    <col min="23" max="23" width="17.140625" customWidth="1"/>
    <col min="24" max="24" width="11.28515625" style="48" bestFit="1" customWidth="1"/>
    <col min="25" max="25" width="11.85546875" bestFit="1" customWidth="1"/>
    <col min="26" max="26" width="12.28515625" customWidth="1"/>
    <col min="27" max="27" width="11.85546875" bestFit="1" customWidth="1"/>
    <col min="28" max="28" width="11.140625" style="12" customWidth="1"/>
    <col min="29" max="29" width="11.28515625" customWidth="1"/>
    <col min="30" max="30" width="19.28515625" customWidth="1"/>
  </cols>
  <sheetData>
    <row r="1" spans="1:34" ht="12.75" customHeight="1" x14ac:dyDescent="0.2">
      <c r="AD1" s="41"/>
    </row>
    <row r="2" spans="1:34" ht="12.75" customHeight="1" x14ac:dyDescent="0.2">
      <c r="B2" s="136" t="s">
        <v>22</v>
      </c>
      <c r="C2" s="136"/>
      <c r="D2" s="50"/>
      <c r="E2" s="50"/>
      <c r="F2" s="50"/>
      <c r="G2" s="50"/>
      <c r="H2" s="50"/>
      <c r="I2" s="50"/>
      <c r="J2" s="50"/>
      <c r="K2" s="162"/>
      <c r="L2" s="101"/>
      <c r="M2" s="7"/>
      <c r="N2" s="86"/>
      <c r="O2" s="7"/>
      <c r="P2" s="86"/>
      <c r="Q2" s="7"/>
      <c r="R2" s="86"/>
      <c r="S2" s="7"/>
      <c r="T2" s="7"/>
      <c r="U2" s="7"/>
      <c r="V2" s="7"/>
      <c r="W2" s="7"/>
      <c r="AD2" s="41"/>
    </row>
    <row r="3" spans="1:34" ht="12.75" customHeight="1" x14ac:dyDescent="0.2">
      <c r="B3" s="137" t="s">
        <v>21</v>
      </c>
      <c r="C3" s="137"/>
      <c r="D3" s="163"/>
      <c r="E3" s="163"/>
      <c r="F3" s="163"/>
      <c r="G3" s="163"/>
      <c r="H3" s="122"/>
      <c r="I3" s="163"/>
      <c r="J3" s="163"/>
      <c r="K3" s="164"/>
      <c r="L3" s="113"/>
      <c r="M3" s="2"/>
      <c r="N3" s="87"/>
      <c r="O3" s="2"/>
      <c r="P3" s="87"/>
      <c r="Q3" s="2"/>
      <c r="R3" s="87"/>
      <c r="S3" s="2"/>
      <c r="T3" s="2"/>
      <c r="U3" s="2"/>
      <c r="V3" s="2"/>
      <c r="W3" s="2"/>
      <c r="AD3" s="41"/>
    </row>
    <row r="4" spans="1:34" ht="12.75" customHeight="1" x14ac:dyDescent="0.2">
      <c r="C4" s="138">
        <v>2025</v>
      </c>
      <c r="D4" s="165" t="s">
        <v>61</v>
      </c>
      <c r="E4" s="165" t="s">
        <v>61</v>
      </c>
      <c r="F4" s="165" t="s">
        <v>58</v>
      </c>
      <c r="G4" s="165" t="s">
        <v>58</v>
      </c>
      <c r="H4" s="165" t="s">
        <v>55</v>
      </c>
      <c r="I4" s="165" t="s">
        <v>55</v>
      </c>
      <c r="J4" s="165" t="s">
        <v>56</v>
      </c>
      <c r="K4" s="165">
        <v>2021</v>
      </c>
      <c r="L4" s="102">
        <v>2020</v>
      </c>
      <c r="M4" s="6">
        <v>2020</v>
      </c>
      <c r="N4" s="6">
        <v>2019</v>
      </c>
      <c r="O4" s="6">
        <v>2019</v>
      </c>
      <c r="P4" s="6">
        <v>2018</v>
      </c>
      <c r="Q4" s="6">
        <v>2018</v>
      </c>
      <c r="R4" s="6">
        <v>2017</v>
      </c>
      <c r="S4" s="6">
        <v>2017</v>
      </c>
      <c r="T4" s="6">
        <v>2016</v>
      </c>
      <c r="U4" s="6">
        <v>2016</v>
      </c>
      <c r="V4" s="6">
        <v>2015</v>
      </c>
      <c r="W4" s="6">
        <v>2015</v>
      </c>
      <c r="X4" s="49">
        <v>2014</v>
      </c>
      <c r="Y4" s="6">
        <v>2013</v>
      </c>
      <c r="Z4" s="6">
        <v>2012</v>
      </c>
      <c r="AA4" s="6">
        <v>2011</v>
      </c>
      <c r="AB4" s="6">
        <v>2010</v>
      </c>
      <c r="AC4" s="6">
        <v>2009</v>
      </c>
      <c r="AD4" s="41"/>
    </row>
    <row r="5" spans="1:34" ht="12.75" customHeight="1" x14ac:dyDescent="0.2">
      <c r="A5" s="139" t="s">
        <v>25</v>
      </c>
      <c r="C5" s="140" t="s">
        <v>30</v>
      </c>
      <c r="D5" s="162" t="s">
        <v>30</v>
      </c>
      <c r="E5" s="162" t="s">
        <v>65</v>
      </c>
      <c r="F5" s="162" t="s">
        <v>30</v>
      </c>
      <c r="G5" s="162" t="s">
        <v>31</v>
      </c>
      <c r="H5" s="166" t="s">
        <v>31</v>
      </c>
      <c r="I5" s="162" t="s">
        <v>30</v>
      </c>
      <c r="J5" s="166" t="s">
        <v>31</v>
      </c>
      <c r="K5" s="162" t="s">
        <v>30</v>
      </c>
      <c r="L5" s="114" t="s">
        <v>31</v>
      </c>
      <c r="M5" s="7" t="s">
        <v>30</v>
      </c>
      <c r="N5" s="7" t="s">
        <v>31</v>
      </c>
      <c r="O5" s="7" t="s">
        <v>30</v>
      </c>
      <c r="P5" s="7" t="s">
        <v>31</v>
      </c>
      <c r="Q5" s="7" t="s">
        <v>30</v>
      </c>
      <c r="R5" s="7" t="s">
        <v>31</v>
      </c>
      <c r="S5" s="7" t="s">
        <v>30</v>
      </c>
      <c r="T5" s="7" t="s">
        <v>31</v>
      </c>
      <c r="U5" s="7" t="s">
        <v>30</v>
      </c>
      <c r="V5" s="7" t="s">
        <v>31</v>
      </c>
      <c r="W5" s="7" t="s">
        <v>30</v>
      </c>
      <c r="X5" s="50" t="s">
        <v>31</v>
      </c>
      <c r="Y5" s="7" t="s">
        <v>31</v>
      </c>
      <c r="Z5" s="7" t="s">
        <v>31</v>
      </c>
      <c r="AA5" s="7" t="s">
        <v>31</v>
      </c>
      <c r="AB5" s="13" t="s">
        <v>31</v>
      </c>
      <c r="AC5" s="7" t="s">
        <v>31</v>
      </c>
      <c r="AD5" s="41"/>
    </row>
    <row r="6" spans="1:34" ht="12.75" customHeight="1" x14ac:dyDescent="0.2">
      <c r="A6" s="139"/>
      <c r="E6" s="48" t="s">
        <v>66</v>
      </c>
      <c r="G6" s="121" t="s">
        <v>62</v>
      </c>
      <c r="H6" s="167" t="s">
        <v>60</v>
      </c>
      <c r="J6" s="168"/>
      <c r="L6" s="115"/>
      <c r="N6" s="90"/>
      <c r="P6" s="90"/>
      <c r="Z6" s="7"/>
      <c r="AA6" s="7"/>
      <c r="AB6" s="13"/>
      <c r="AC6" s="7"/>
      <c r="AD6" s="41"/>
    </row>
    <row r="7" spans="1:34" ht="12.75" customHeight="1" x14ac:dyDescent="0.2">
      <c r="B7" s="141" t="s">
        <v>0</v>
      </c>
      <c r="C7" s="141"/>
      <c r="D7" s="123"/>
      <c r="E7" s="123"/>
      <c r="F7" s="123"/>
      <c r="G7" s="123"/>
      <c r="H7" s="123"/>
      <c r="I7" s="123"/>
      <c r="J7" s="123"/>
      <c r="K7" s="169"/>
      <c r="L7" s="83"/>
      <c r="M7" s="83"/>
      <c r="N7" s="83"/>
      <c r="O7" s="83"/>
      <c r="P7" s="83"/>
      <c r="Q7" s="83"/>
      <c r="R7" s="88"/>
      <c r="S7" s="1"/>
      <c r="T7" s="1"/>
      <c r="U7" s="1"/>
      <c r="V7" s="1"/>
      <c r="W7" s="1"/>
      <c r="AA7" s="2"/>
      <c r="AB7" s="14"/>
      <c r="AC7" s="2"/>
      <c r="AD7" s="41"/>
    </row>
    <row r="8" spans="1:34" ht="12.75" customHeight="1" x14ac:dyDescent="0.2">
      <c r="A8" s="135">
        <v>40101</v>
      </c>
      <c r="B8" s="135" t="s">
        <v>1</v>
      </c>
      <c r="C8" s="142">
        <v>75</v>
      </c>
      <c r="D8" s="118">
        <v>75</v>
      </c>
      <c r="E8" s="118">
        <v>61.98</v>
      </c>
      <c r="F8" s="118">
        <v>75</v>
      </c>
      <c r="G8" s="118">
        <v>75.72</v>
      </c>
      <c r="H8" s="94">
        <v>87.15</v>
      </c>
      <c r="I8" s="118">
        <v>25</v>
      </c>
      <c r="J8" s="118">
        <v>104.01</v>
      </c>
      <c r="K8" s="118">
        <v>25</v>
      </c>
      <c r="L8" s="91">
        <v>118.91</v>
      </c>
      <c r="M8" s="67">
        <v>25</v>
      </c>
      <c r="N8" s="91">
        <v>112.18</v>
      </c>
      <c r="O8" s="67">
        <v>25</v>
      </c>
      <c r="P8" s="91">
        <v>85.37</v>
      </c>
      <c r="Q8" s="67">
        <v>25</v>
      </c>
      <c r="R8" s="91">
        <v>72.42</v>
      </c>
      <c r="S8" s="67"/>
      <c r="T8" s="77">
        <v>55.14</v>
      </c>
      <c r="U8" s="44"/>
      <c r="V8" s="67">
        <v>28.05</v>
      </c>
      <c r="W8" s="24">
        <v>45</v>
      </c>
      <c r="X8" s="51">
        <v>35.380000000000003</v>
      </c>
      <c r="Y8" s="24">
        <v>43.89</v>
      </c>
      <c r="Z8" s="24">
        <v>110.78</v>
      </c>
      <c r="AA8" s="24">
        <v>156.38</v>
      </c>
      <c r="AB8" s="24">
        <v>178.66</v>
      </c>
      <c r="AC8" s="24">
        <v>294.77</v>
      </c>
      <c r="AD8" s="41"/>
    </row>
    <row r="9" spans="1:34" ht="12.75" customHeight="1" x14ac:dyDescent="0.2">
      <c r="A9" s="135">
        <v>40201</v>
      </c>
      <c r="B9" s="135" t="s">
        <v>2</v>
      </c>
      <c r="C9" s="142">
        <f>28000*1.15</f>
        <v>32199.999999999996</v>
      </c>
      <c r="D9" s="118">
        <v>25000</v>
      </c>
      <c r="E9" s="118">
        <v>24883.23</v>
      </c>
      <c r="F9" s="118">
        <v>25000</v>
      </c>
      <c r="G9" s="118">
        <v>28314.05</v>
      </c>
      <c r="H9" s="94">
        <v>27874.080000000002</v>
      </c>
      <c r="I9" s="118">
        <v>26000</v>
      </c>
      <c r="J9" s="118">
        <v>23869.69</v>
      </c>
      <c r="K9" s="118">
        <v>24000</v>
      </c>
      <c r="L9" s="91">
        <v>25984.93</v>
      </c>
      <c r="M9" s="67">
        <v>24000</v>
      </c>
      <c r="N9" s="91">
        <v>26478.74</v>
      </c>
      <c r="O9" s="67">
        <v>22000</v>
      </c>
      <c r="P9" s="91">
        <v>24234</v>
      </c>
      <c r="Q9" s="67">
        <v>22000</v>
      </c>
      <c r="R9" s="91">
        <v>22072.73</v>
      </c>
      <c r="S9" s="67">
        <v>22000</v>
      </c>
      <c r="T9" s="77">
        <v>22804.82</v>
      </c>
      <c r="U9" s="54">
        <v>21000</v>
      </c>
      <c r="V9" s="67">
        <v>22324.71</v>
      </c>
      <c r="W9" s="24">
        <v>21000</v>
      </c>
      <c r="X9" s="51">
        <v>22028.49</v>
      </c>
      <c r="Y9" s="24">
        <v>21724.47</v>
      </c>
      <c r="Z9" s="24">
        <v>20235.61</v>
      </c>
      <c r="AA9" s="24">
        <v>20129.21</v>
      </c>
      <c r="AB9" s="24">
        <v>19826.47</v>
      </c>
      <c r="AC9" s="24">
        <v>19485.47</v>
      </c>
      <c r="AD9" s="41"/>
    </row>
    <row r="10" spans="1:34" ht="12.75" customHeight="1" x14ac:dyDescent="0.2">
      <c r="A10" s="135">
        <v>40702</v>
      </c>
      <c r="B10" s="143" t="s">
        <v>38</v>
      </c>
      <c r="C10" s="144">
        <f>C21</f>
        <v>10000</v>
      </c>
      <c r="D10" s="71">
        <v>9500</v>
      </c>
      <c r="E10" s="71">
        <f>9514</f>
        <v>9514</v>
      </c>
      <c r="F10" s="118">
        <v>8500</v>
      </c>
      <c r="G10" s="118">
        <v>10083</v>
      </c>
      <c r="H10" s="94">
        <v>8605</v>
      </c>
      <c r="I10" s="71">
        <v>8000</v>
      </c>
      <c r="J10" s="71">
        <v>3565</v>
      </c>
      <c r="K10" s="71">
        <v>7750</v>
      </c>
      <c r="L10" s="91">
        <v>0</v>
      </c>
      <c r="M10" s="66">
        <v>7750</v>
      </c>
      <c r="N10" s="91">
        <v>8090</v>
      </c>
      <c r="O10" s="66">
        <v>7500</v>
      </c>
      <c r="P10" s="91">
        <v>7530</v>
      </c>
      <c r="Q10" s="66">
        <v>7000</v>
      </c>
      <c r="R10" s="91">
        <v>11045</v>
      </c>
      <c r="S10" s="66">
        <v>7000</v>
      </c>
      <c r="T10" s="78">
        <v>6975</v>
      </c>
      <c r="U10" s="55">
        <v>5000</v>
      </c>
      <c r="V10" s="66">
        <v>4885</v>
      </c>
      <c r="W10" s="24">
        <v>6375</v>
      </c>
      <c r="X10" s="51">
        <v>4741.1499999999996</v>
      </c>
      <c r="Y10" s="24">
        <v>3900</v>
      </c>
      <c r="Z10" s="24">
        <v>4120</v>
      </c>
      <c r="AA10" s="24">
        <v>3800</v>
      </c>
      <c r="AB10" s="24">
        <v>4210</v>
      </c>
      <c r="AC10" s="24">
        <v>4675</v>
      </c>
      <c r="AD10" s="41"/>
    </row>
    <row r="11" spans="1:34" ht="12.75" customHeight="1" x14ac:dyDescent="0.2">
      <c r="A11" s="135">
        <v>40703</v>
      </c>
      <c r="B11" s="143" t="s">
        <v>39</v>
      </c>
      <c r="C11" s="144">
        <f>C38</f>
        <v>41776.25</v>
      </c>
      <c r="D11" s="71">
        <v>24500</v>
      </c>
      <c r="E11" s="71">
        <v>33421</v>
      </c>
      <c r="F11" s="71">
        <v>24500</v>
      </c>
      <c r="G11" s="71">
        <v>24288</v>
      </c>
      <c r="H11" s="94">
        <v>22975</v>
      </c>
      <c r="I11" s="71">
        <v>24500</v>
      </c>
      <c r="J11" s="71">
        <v>24644</v>
      </c>
      <c r="K11" s="71">
        <v>24500</v>
      </c>
      <c r="L11" s="91">
        <v>0</v>
      </c>
      <c r="M11" s="66">
        <v>24500</v>
      </c>
      <c r="N11" s="91">
        <v>25865</v>
      </c>
      <c r="O11" s="66">
        <v>22500</v>
      </c>
      <c r="P11" s="91">
        <v>25732</v>
      </c>
      <c r="Q11" s="66">
        <v>20000</v>
      </c>
      <c r="R11" s="91">
        <v>17228</v>
      </c>
      <c r="S11" s="66">
        <v>20000</v>
      </c>
      <c r="T11" s="78">
        <v>19076</v>
      </c>
      <c r="U11" s="55">
        <v>19000</v>
      </c>
      <c r="V11" s="66">
        <v>16519.150000000001</v>
      </c>
      <c r="W11" s="24">
        <v>19500</v>
      </c>
      <c r="X11" s="51">
        <v>19748</v>
      </c>
      <c r="Y11" s="24">
        <v>19412</v>
      </c>
      <c r="Z11" s="24">
        <v>19326.5</v>
      </c>
      <c r="AA11" s="24">
        <v>20661</v>
      </c>
      <c r="AB11" s="24">
        <v>17316</v>
      </c>
      <c r="AC11" s="24">
        <v>13924.38</v>
      </c>
      <c r="AD11" s="42"/>
      <c r="AE11" s="40"/>
      <c r="AF11" s="40"/>
      <c r="AG11" s="40"/>
      <c r="AH11" s="40"/>
    </row>
    <row r="12" spans="1:34" ht="12.75" customHeight="1" x14ac:dyDescent="0.2">
      <c r="A12" s="160" t="s">
        <v>71</v>
      </c>
      <c r="B12" s="160" t="s">
        <v>3</v>
      </c>
      <c r="C12" s="142">
        <v>0</v>
      </c>
      <c r="D12" s="118"/>
      <c r="E12" s="118"/>
      <c r="F12" s="118">
        <v>0</v>
      </c>
      <c r="G12" s="118">
        <v>3250</v>
      </c>
      <c r="H12" s="94"/>
      <c r="I12" s="118">
        <v>2000</v>
      </c>
      <c r="J12" s="118">
        <v>3850</v>
      </c>
      <c r="K12" s="118">
        <v>1800</v>
      </c>
      <c r="L12" s="91">
        <v>2250</v>
      </c>
      <c r="M12" s="67">
        <v>4000</v>
      </c>
      <c r="N12" s="91">
        <v>5800</v>
      </c>
      <c r="O12" s="67">
        <v>4000</v>
      </c>
      <c r="P12" s="91">
        <v>4150</v>
      </c>
      <c r="Q12" s="67">
        <v>4000</v>
      </c>
      <c r="R12" s="91">
        <v>4200</v>
      </c>
      <c r="S12" s="67">
        <v>4000</v>
      </c>
      <c r="T12" s="77">
        <v>3400</v>
      </c>
      <c r="U12" s="54">
        <v>3000</v>
      </c>
      <c r="V12" s="67">
        <v>2550</v>
      </c>
      <c r="W12" s="24">
        <v>3000</v>
      </c>
      <c r="X12" s="51">
        <v>9075</v>
      </c>
      <c r="Y12" s="24">
        <v>12705</v>
      </c>
      <c r="Z12" s="24">
        <v>8602</v>
      </c>
      <c r="AA12" s="24">
        <v>6000</v>
      </c>
      <c r="AB12" s="24">
        <v>4000</v>
      </c>
      <c r="AC12" s="24">
        <v>4000</v>
      </c>
      <c r="AD12" s="42" t="s">
        <v>45</v>
      </c>
      <c r="AE12" s="40"/>
      <c r="AF12" s="40"/>
      <c r="AG12" s="40"/>
      <c r="AH12" s="40"/>
    </row>
    <row r="13" spans="1:34" ht="12.75" customHeight="1" x14ac:dyDescent="0.2">
      <c r="B13" s="146" t="s">
        <v>72</v>
      </c>
      <c r="C13" s="144">
        <v>0</v>
      </c>
      <c r="D13" s="71"/>
      <c r="E13" s="71"/>
      <c r="F13" s="71">
        <v>0</v>
      </c>
      <c r="G13" s="71">
        <v>29250</v>
      </c>
      <c r="H13" s="94"/>
      <c r="I13" s="71">
        <v>29500</v>
      </c>
      <c r="J13" s="71">
        <v>34650</v>
      </c>
      <c r="K13" s="71">
        <v>16200</v>
      </c>
      <c r="L13" s="91">
        <v>20250</v>
      </c>
      <c r="M13" s="66">
        <v>42000</v>
      </c>
      <c r="N13" s="91">
        <v>52200</v>
      </c>
      <c r="O13" s="66">
        <v>36000</v>
      </c>
      <c r="P13" s="91">
        <v>37350</v>
      </c>
      <c r="Q13" s="66">
        <v>30000</v>
      </c>
      <c r="R13" s="91">
        <v>33800</v>
      </c>
      <c r="S13" s="66">
        <v>33000</v>
      </c>
      <c r="T13" s="78">
        <v>35100</v>
      </c>
      <c r="U13" s="55">
        <v>27000</v>
      </c>
      <c r="V13" s="66">
        <v>22950</v>
      </c>
      <c r="W13" s="24">
        <v>27000</v>
      </c>
      <c r="X13" s="51">
        <v>18425</v>
      </c>
      <c r="Y13" s="24">
        <v>25795</v>
      </c>
      <c r="Z13" s="25">
        <v>17398</v>
      </c>
      <c r="AA13" s="24">
        <v>8000</v>
      </c>
      <c r="AB13" s="24">
        <v>9500</v>
      </c>
      <c r="AC13" s="24">
        <v>10500</v>
      </c>
      <c r="AD13" s="42" t="s">
        <v>45</v>
      </c>
      <c r="AE13" s="40"/>
      <c r="AF13" s="40"/>
      <c r="AG13" s="40"/>
      <c r="AH13" s="40"/>
    </row>
    <row r="14" spans="1:34" ht="12.75" customHeight="1" x14ac:dyDescent="0.2">
      <c r="A14" s="135">
        <v>40705</v>
      </c>
      <c r="B14" s="146" t="s">
        <v>59</v>
      </c>
      <c r="C14" s="147">
        <v>55000</v>
      </c>
      <c r="D14" s="94">
        <v>45000</v>
      </c>
      <c r="E14" s="94">
        <f>51000</f>
        <v>51000</v>
      </c>
      <c r="F14" s="71">
        <v>45000</v>
      </c>
      <c r="G14" s="71"/>
      <c r="H14" s="94">
        <v>39400</v>
      </c>
      <c r="I14" s="71"/>
      <c r="J14" s="71"/>
      <c r="K14" s="71"/>
      <c r="L14" s="91"/>
      <c r="M14" s="66"/>
      <c r="N14" s="91"/>
      <c r="O14" s="66"/>
      <c r="P14" s="91"/>
      <c r="Q14" s="66"/>
      <c r="R14" s="91"/>
      <c r="S14" s="66"/>
      <c r="T14" s="78"/>
      <c r="U14" s="55"/>
      <c r="V14" s="66"/>
      <c r="W14" s="24"/>
      <c r="X14" s="51"/>
      <c r="Y14" s="24"/>
      <c r="Z14" s="25"/>
      <c r="AA14" s="24"/>
      <c r="AB14" s="24"/>
      <c r="AC14" s="24"/>
      <c r="AD14" s="42"/>
      <c r="AE14" s="40"/>
      <c r="AF14" s="40"/>
      <c r="AG14" s="40"/>
      <c r="AH14" s="40"/>
    </row>
    <row r="15" spans="1:34" ht="12.75" customHeight="1" x14ac:dyDescent="0.2">
      <c r="A15" s="135">
        <v>40710</v>
      </c>
      <c r="B15" s="143" t="s">
        <v>40</v>
      </c>
      <c r="C15" s="144">
        <f>C57</f>
        <v>4000</v>
      </c>
      <c r="D15" s="71">
        <v>1000</v>
      </c>
      <c r="E15" s="71"/>
      <c r="F15" s="71">
        <v>2500</v>
      </c>
      <c r="G15" s="71">
        <v>-1000</v>
      </c>
      <c r="H15" s="94">
        <v>1704.07</v>
      </c>
      <c r="I15" s="71">
        <v>1500</v>
      </c>
      <c r="J15" s="71">
        <v>2450</v>
      </c>
      <c r="K15" s="71">
        <v>2200</v>
      </c>
      <c r="L15" s="91">
        <v>-100</v>
      </c>
      <c r="M15" s="66">
        <v>2200</v>
      </c>
      <c r="N15" s="91">
        <v>1320</v>
      </c>
      <c r="O15" s="66">
        <v>2500</v>
      </c>
      <c r="P15" s="91">
        <v>1944.43</v>
      </c>
      <c r="Q15" s="66">
        <v>2000</v>
      </c>
      <c r="R15" s="91">
        <v>2640</v>
      </c>
      <c r="S15" s="66">
        <v>5000</v>
      </c>
      <c r="T15" s="78">
        <v>3592.31</v>
      </c>
      <c r="U15" s="55">
        <v>1500</v>
      </c>
      <c r="V15" s="66">
        <v>2715</v>
      </c>
      <c r="W15" s="24">
        <v>1600</v>
      </c>
      <c r="X15" s="51">
        <v>1180</v>
      </c>
      <c r="Y15" s="24">
        <v>2065</v>
      </c>
      <c r="Z15" s="24">
        <v>2301.2199999999998</v>
      </c>
      <c r="AA15" s="26">
        <v>2343.0500000000002</v>
      </c>
      <c r="AB15" s="24">
        <v>650</v>
      </c>
      <c r="AC15" s="24">
        <v>1120</v>
      </c>
      <c r="AD15" s="42"/>
      <c r="AE15" s="40"/>
      <c r="AF15" s="40"/>
      <c r="AG15" s="40"/>
      <c r="AH15" s="40"/>
    </row>
    <row r="16" spans="1:34" ht="12.75" customHeight="1" x14ac:dyDescent="0.2">
      <c r="A16" s="135">
        <v>40709</v>
      </c>
      <c r="B16" s="135" t="s">
        <v>48</v>
      </c>
      <c r="C16" s="142">
        <v>0</v>
      </c>
      <c r="D16" s="118">
        <v>300</v>
      </c>
      <c r="E16" s="118"/>
      <c r="F16" s="118">
        <v>300</v>
      </c>
      <c r="G16" s="118">
        <v>0</v>
      </c>
      <c r="H16" s="94">
        <v>0</v>
      </c>
      <c r="I16" s="118">
        <v>350</v>
      </c>
      <c r="J16" s="118">
        <v>280.74</v>
      </c>
      <c r="K16" s="118">
        <v>300</v>
      </c>
      <c r="L16" s="91">
        <v>29.38</v>
      </c>
      <c r="M16" s="67">
        <v>300</v>
      </c>
      <c r="N16" s="91">
        <v>535.62</v>
      </c>
      <c r="O16" s="67">
        <v>750</v>
      </c>
      <c r="P16" s="91">
        <v>218.83</v>
      </c>
      <c r="Q16" s="67">
        <v>750</v>
      </c>
      <c r="R16" s="91">
        <v>276.25</v>
      </c>
      <c r="S16" s="67">
        <v>500</v>
      </c>
      <c r="T16" s="77">
        <v>405.05</v>
      </c>
      <c r="U16" s="54">
        <v>500</v>
      </c>
      <c r="V16" s="67">
        <v>413.52</v>
      </c>
      <c r="W16" s="24">
        <v>500</v>
      </c>
      <c r="X16" s="51">
        <v>790.35</v>
      </c>
      <c r="Y16" s="24">
        <v>567.70000000000005</v>
      </c>
      <c r="Z16" s="26">
        <v>530.16</v>
      </c>
      <c r="AA16" s="26">
        <v>749.35</v>
      </c>
      <c r="AB16" s="26">
        <v>915.76</v>
      </c>
      <c r="AC16" s="26">
        <v>1320.25</v>
      </c>
      <c r="AD16" s="42"/>
      <c r="AE16" s="40"/>
      <c r="AF16" s="40"/>
      <c r="AG16" s="40"/>
      <c r="AH16" s="40"/>
    </row>
    <row r="17" spans="1:34" ht="12.75" customHeight="1" x14ac:dyDescent="0.2">
      <c r="B17" s="148" t="s">
        <v>15</v>
      </c>
      <c r="C17" s="149">
        <f t="shared" ref="C17:H17" si="0">SUM(C8:C16)</f>
        <v>143051.25</v>
      </c>
      <c r="D17" s="120">
        <f t="shared" si="0"/>
        <v>105375</v>
      </c>
      <c r="E17" s="120">
        <f t="shared" si="0"/>
        <v>118880.20999999999</v>
      </c>
      <c r="F17" s="120">
        <f t="shared" si="0"/>
        <v>105875</v>
      </c>
      <c r="G17" s="120">
        <f t="shared" si="0"/>
        <v>94260.77</v>
      </c>
      <c r="H17" s="120">
        <f t="shared" si="0"/>
        <v>100645.30000000002</v>
      </c>
      <c r="I17" s="120">
        <f t="shared" ref="I17:R17" si="1">SUM(I8:I16)</f>
        <v>91875</v>
      </c>
      <c r="J17" s="120">
        <f t="shared" si="1"/>
        <v>93413.440000000002</v>
      </c>
      <c r="K17" s="120">
        <f t="shared" si="1"/>
        <v>76775</v>
      </c>
      <c r="L17" s="68">
        <f t="shared" si="1"/>
        <v>48533.219999999994</v>
      </c>
      <c r="M17" s="68">
        <f t="shared" si="1"/>
        <v>104775</v>
      </c>
      <c r="N17" s="68">
        <f t="shared" si="1"/>
        <v>120401.54</v>
      </c>
      <c r="O17" s="68">
        <f t="shared" si="1"/>
        <v>95275</v>
      </c>
      <c r="P17" s="68">
        <f t="shared" si="1"/>
        <v>101244.62999999999</v>
      </c>
      <c r="Q17" s="68">
        <f t="shared" si="1"/>
        <v>85775</v>
      </c>
      <c r="R17" s="68">
        <f t="shared" si="1"/>
        <v>91334.399999999994</v>
      </c>
      <c r="S17" s="68">
        <f>SUM(S9:S16)</f>
        <v>91500</v>
      </c>
      <c r="T17" s="79">
        <f>SUM(T8:T16)</f>
        <v>91408.319999999992</v>
      </c>
      <c r="U17" s="56">
        <f>SUM(U9:U16)</f>
        <v>77000</v>
      </c>
      <c r="V17" s="68">
        <f t="shared" ref="V17:AC17" si="2">SUM(V8:V16)</f>
        <v>72385.430000000008</v>
      </c>
      <c r="W17" s="34">
        <f t="shared" si="2"/>
        <v>79020</v>
      </c>
      <c r="X17" s="51">
        <f t="shared" si="2"/>
        <v>76023.37000000001</v>
      </c>
      <c r="Y17" s="24">
        <f t="shared" si="2"/>
        <v>86213.06</v>
      </c>
      <c r="Z17" s="26">
        <f t="shared" si="2"/>
        <v>72624.27</v>
      </c>
      <c r="AA17" s="26">
        <f t="shared" si="2"/>
        <v>61838.99</v>
      </c>
      <c r="AB17" s="26">
        <f t="shared" si="2"/>
        <v>56596.890000000007</v>
      </c>
      <c r="AC17" s="26">
        <f t="shared" si="2"/>
        <v>55319.87</v>
      </c>
      <c r="AD17" s="42"/>
      <c r="AE17" s="40"/>
      <c r="AF17" s="40"/>
      <c r="AG17" s="40"/>
      <c r="AH17" s="40"/>
    </row>
    <row r="18" spans="1:34" ht="12.75" customHeight="1" x14ac:dyDescent="0.35">
      <c r="B18" s="148"/>
      <c r="C18" s="148"/>
      <c r="D18" s="124"/>
      <c r="E18" s="124"/>
      <c r="F18" s="124"/>
      <c r="G18" s="124"/>
      <c r="H18" s="124"/>
      <c r="I18" s="170"/>
      <c r="J18" s="170"/>
      <c r="K18" s="171"/>
      <c r="L18" s="84"/>
      <c r="M18" s="84"/>
      <c r="N18" s="89"/>
      <c r="O18" s="84"/>
      <c r="P18" s="89"/>
      <c r="Q18" s="84"/>
      <c r="R18" s="89"/>
      <c r="S18" s="3"/>
      <c r="T18" s="3"/>
      <c r="U18" s="3"/>
      <c r="V18" s="3"/>
      <c r="W18" s="35"/>
      <c r="Z18" s="8"/>
      <c r="AA18" s="22"/>
      <c r="AB18" s="15"/>
      <c r="AC18" s="8"/>
      <c r="AD18" s="41"/>
    </row>
    <row r="19" spans="1:34" ht="12.75" customHeight="1" x14ac:dyDescent="0.2">
      <c r="A19" s="139" t="s">
        <v>24</v>
      </c>
      <c r="I19" s="161"/>
      <c r="J19" s="161"/>
      <c r="M19" s="9"/>
      <c r="N19" s="85"/>
      <c r="O19" s="9"/>
      <c r="P19" s="85"/>
      <c r="Q19" s="9"/>
      <c r="R19" s="85"/>
      <c r="W19" s="23"/>
      <c r="AA19" s="21"/>
      <c r="AD19" s="41"/>
    </row>
    <row r="20" spans="1:34" ht="12.75" customHeight="1" x14ac:dyDescent="0.2">
      <c r="B20" s="141" t="s">
        <v>73</v>
      </c>
      <c r="C20" s="141"/>
      <c r="D20" s="123"/>
      <c r="E20" s="123"/>
      <c r="F20" s="123"/>
      <c r="G20" s="123"/>
      <c r="H20" s="123"/>
      <c r="I20" s="169"/>
      <c r="J20" s="169"/>
      <c r="K20" s="169"/>
      <c r="L20" s="83"/>
      <c r="M20" s="83"/>
      <c r="N20" s="88"/>
      <c r="O20" s="83"/>
      <c r="P20" s="88"/>
      <c r="Q20" s="83"/>
      <c r="R20" s="88"/>
      <c r="S20" s="1"/>
      <c r="T20" s="1"/>
      <c r="U20" s="1"/>
      <c r="V20" s="1"/>
      <c r="W20" s="36"/>
      <c r="AA20" s="21"/>
      <c r="AD20" s="41"/>
    </row>
    <row r="21" spans="1:34" ht="12.75" customHeight="1" x14ac:dyDescent="0.2">
      <c r="B21" s="146" t="s">
        <v>67</v>
      </c>
      <c r="C21" s="144">
        <v>10000</v>
      </c>
      <c r="D21" s="71">
        <v>9500</v>
      </c>
      <c r="E21" s="71">
        <v>9514</v>
      </c>
      <c r="F21" s="71">
        <v>8500</v>
      </c>
      <c r="G21" s="71">
        <v>10083</v>
      </c>
      <c r="H21" s="94">
        <v>8605</v>
      </c>
      <c r="I21" s="71">
        <v>8000</v>
      </c>
      <c r="J21" s="71">
        <v>3565</v>
      </c>
      <c r="K21" s="71">
        <v>7750</v>
      </c>
      <c r="L21" s="91">
        <v>0</v>
      </c>
      <c r="M21" s="66">
        <v>7750</v>
      </c>
      <c r="N21" s="91">
        <v>8090</v>
      </c>
      <c r="O21" s="66">
        <v>7500</v>
      </c>
      <c r="P21" s="91">
        <v>7530</v>
      </c>
      <c r="Q21" s="66">
        <v>7000</v>
      </c>
      <c r="R21" s="91">
        <v>11045</v>
      </c>
      <c r="S21" s="66">
        <v>7000</v>
      </c>
      <c r="T21" s="66">
        <v>6975</v>
      </c>
      <c r="U21" s="54">
        <v>5000</v>
      </c>
      <c r="V21" s="24">
        <v>4885</v>
      </c>
      <c r="W21" s="26">
        <v>6375</v>
      </c>
      <c r="X21" s="51">
        <v>4741.1499999999996</v>
      </c>
      <c r="Y21" s="24">
        <v>3900</v>
      </c>
      <c r="Z21" s="24">
        <f>SUM(4120+8602)</f>
        <v>12722</v>
      </c>
      <c r="AA21" s="24">
        <v>9800</v>
      </c>
      <c r="AB21" s="24">
        <v>8210</v>
      </c>
      <c r="AC21" s="24">
        <v>8675</v>
      </c>
      <c r="AD21" s="41"/>
    </row>
    <row r="22" spans="1:34" ht="12.75" customHeight="1" x14ac:dyDescent="0.2">
      <c r="B22" s="143" t="s">
        <v>46</v>
      </c>
      <c r="C22" s="144">
        <v>0</v>
      </c>
      <c r="D22" s="71">
        <v>0</v>
      </c>
      <c r="E22" s="71"/>
      <c r="F22" s="71"/>
      <c r="G22" s="71">
        <v>3250</v>
      </c>
      <c r="H22" s="94">
        <v>4100</v>
      </c>
      <c r="I22" s="71">
        <v>2000</v>
      </c>
      <c r="J22" s="71">
        <v>3850</v>
      </c>
      <c r="K22" s="71">
        <v>1800</v>
      </c>
      <c r="L22" s="91">
        <v>2200</v>
      </c>
      <c r="M22" s="66">
        <v>4000</v>
      </c>
      <c r="N22" s="91">
        <v>5800</v>
      </c>
      <c r="O22" s="66">
        <v>4000</v>
      </c>
      <c r="P22" s="91">
        <v>4150</v>
      </c>
      <c r="Q22" s="66">
        <v>4000</v>
      </c>
      <c r="R22" s="91">
        <v>4200</v>
      </c>
      <c r="S22" s="66">
        <v>4000</v>
      </c>
      <c r="T22" s="66">
        <v>3400</v>
      </c>
      <c r="U22" s="54">
        <v>3000</v>
      </c>
      <c r="V22" s="24">
        <v>2550</v>
      </c>
      <c r="W22" s="26">
        <v>3000</v>
      </c>
      <c r="X22" s="51">
        <v>9075</v>
      </c>
      <c r="Y22" s="24">
        <v>12705</v>
      </c>
      <c r="Z22" s="24"/>
      <c r="AA22" s="24"/>
      <c r="AB22" s="24"/>
      <c r="AC22" s="24"/>
      <c r="AD22" s="41"/>
    </row>
    <row r="23" spans="1:34" ht="12.75" customHeight="1" x14ac:dyDescent="0.2">
      <c r="A23" s="135">
        <v>50201</v>
      </c>
      <c r="B23" s="135" t="s">
        <v>5</v>
      </c>
      <c r="C23" s="142">
        <v>50</v>
      </c>
      <c r="D23" s="118">
        <v>75</v>
      </c>
      <c r="E23" s="118">
        <f>19.2</f>
        <v>19.2</v>
      </c>
      <c r="F23" s="118">
        <v>150</v>
      </c>
      <c r="G23" s="118">
        <v>51.6</v>
      </c>
      <c r="H23" s="94">
        <v>40.36</v>
      </c>
      <c r="I23" s="118">
        <v>150</v>
      </c>
      <c r="J23" s="118">
        <v>263.23</v>
      </c>
      <c r="K23" s="118">
        <v>100</v>
      </c>
      <c r="L23" s="91">
        <v>13.2</v>
      </c>
      <c r="M23" s="67">
        <v>150</v>
      </c>
      <c r="N23" s="91">
        <v>92.6</v>
      </c>
      <c r="O23" s="67">
        <v>100</v>
      </c>
      <c r="P23" s="91">
        <v>86.51</v>
      </c>
      <c r="Q23" s="67">
        <v>50</v>
      </c>
      <c r="R23" s="91">
        <v>83.27</v>
      </c>
      <c r="S23" s="67">
        <v>50</v>
      </c>
      <c r="T23" s="67">
        <v>59.14</v>
      </c>
      <c r="U23" s="54">
        <v>25</v>
      </c>
      <c r="V23" s="44">
        <v>27.36</v>
      </c>
      <c r="W23" s="24">
        <v>0</v>
      </c>
      <c r="X23" s="51">
        <v>37.11</v>
      </c>
      <c r="Y23" s="24">
        <v>29.44</v>
      </c>
      <c r="Z23" s="24">
        <v>36</v>
      </c>
      <c r="AA23" s="27">
        <v>37.96</v>
      </c>
      <c r="AB23" s="24">
        <v>30.59</v>
      </c>
      <c r="AC23" s="24">
        <v>77.03</v>
      </c>
      <c r="AD23" s="41"/>
    </row>
    <row r="24" spans="1:34" ht="12.75" customHeight="1" x14ac:dyDescent="0.2">
      <c r="A24" s="135">
        <v>50202</v>
      </c>
      <c r="B24" s="135" t="s">
        <v>6</v>
      </c>
      <c r="C24" s="142">
        <v>75</v>
      </c>
      <c r="D24" s="118">
        <v>75</v>
      </c>
      <c r="E24" s="118">
        <f>59.08</f>
        <v>59.08</v>
      </c>
      <c r="F24" s="118">
        <v>125</v>
      </c>
      <c r="G24" s="118">
        <v>64.36</v>
      </c>
      <c r="H24" s="94">
        <v>64.36</v>
      </c>
      <c r="I24" s="118">
        <v>125</v>
      </c>
      <c r="J24" s="118">
        <v>0</v>
      </c>
      <c r="K24" s="118">
        <v>125</v>
      </c>
      <c r="L24" s="91">
        <v>58.03</v>
      </c>
      <c r="M24" s="67">
        <v>125</v>
      </c>
      <c r="N24" s="91">
        <v>51.7</v>
      </c>
      <c r="O24" s="67">
        <v>125</v>
      </c>
      <c r="P24" s="91">
        <v>64.36</v>
      </c>
      <c r="Q24" s="67">
        <v>125</v>
      </c>
      <c r="R24" s="91">
        <v>64.36</v>
      </c>
      <c r="S24" s="67">
        <v>125</v>
      </c>
      <c r="T24" s="67">
        <v>64.36</v>
      </c>
      <c r="U24" s="54">
        <v>125</v>
      </c>
      <c r="V24" s="44"/>
      <c r="W24" s="24">
        <v>0</v>
      </c>
      <c r="X24" s="51">
        <v>118.16</v>
      </c>
      <c r="Y24" s="24">
        <v>280.35000000000002</v>
      </c>
      <c r="Z24" s="24">
        <v>142.80000000000001</v>
      </c>
      <c r="AA24" s="27">
        <v>138.08000000000001</v>
      </c>
      <c r="AB24" s="24">
        <v>103.95</v>
      </c>
      <c r="AC24" s="24">
        <v>100</v>
      </c>
      <c r="AD24" s="41"/>
    </row>
    <row r="25" spans="1:34" ht="12.75" customHeight="1" x14ac:dyDescent="0.2">
      <c r="A25" s="135">
        <v>50203</v>
      </c>
      <c r="B25" s="135" t="s">
        <v>7</v>
      </c>
      <c r="C25" s="142">
        <v>350</v>
      </c>
      <c r="D25" s="118">
        <v>200</v>
      </c>
      <c r="E25" s="118">
        <f>353.08</f>
        <v>353.08</v>
      </c>
      <c r="F25" s="118">
        <v>400</v>
      </c>
      <c r="G25" s="118">
        <v>181.58</v>
      </c>
      <c r="H25" s="94">
        <v>400.24</v>
      </c>
      <c r="I25" s="118">
        <v>400</v>
      </c>
      <c r="J25" s="118">
        <v>202.16</v>
      </c>
      <c r="K25" s="118">
        <v>400</v>
      </c>
      <c r="L25" s="91">
        <v>719.97</v>
      </c>
      <c r="M25" s="67">
        <v>400</v>
      </c>
      <c r="N25" s="91">
        <v>378.39</v>
      </c>
      <c r="O25" s="67">
        <v>250</v>
      </c>
      <c r="P25" s="91">
        <v>190.86</v>
      </c>
      <c r="Q25" s="67">
        <v>225</v>
      </c>
      <c r="R25" s="91">
        <v>443.2</v>
      </c>
      <c r="S25" s="67">
        <v>225</v>
      </c>
      <c r="T25" s="67">
        <v>210.91</v>
      </c>
      <c r="U25" s="54">
        <v>50</v>
      </c>
      <c r="V25" s="44">
        <v>235.65</v>
      </c>
      <c r="W25" s="24">
        <v>50</v>
      </c>
      <c r="X25" s="51">
        <v>50.35</v>
      </c>
      <c r="Y25" s="24">
        <v>102.84</v>
      </c>
      <c r="Z25" s="24">
        <v>31.83</v>
      </c>
      <c r="AA25" s="27">
        <v>82.11</v>
      </c>
      <c r="AB25" s="24">
        <v>30.5</v>
      </c>
      <c r="AC25" s="24">
        <v>136.29</v>
      </c>
      <c r="AD25" s="41"/>
    </row>
    <row r="26" spans="1:34" ht="12.75" customHeight="1" x14ac:dyDescent="0.2">
      <c r="A26" s="135">
        <v>50204</v>
      </c>
      <c r="B26" s="135" t="s">
        <v>8</v>
      </c>
      <c r="C26" s="142">
        <v>100</v>
      </c>
      <c r="D26" s="118">
        <v>125</v>
      </c>
      <c r="E26" s="118">
        <f>65.39</f>
        <v>65.39</v>
      </c>
      <c r="F26" s="118">
        <v>150</v>
      </c>
      <c r="G26" s="118">
        <v>108.78</v>
      </c>
      <c r="H26" s="94">
        <v>130.29</v>
      </c>
      <c r="I26" s="118">
        <v>150</v>
      </c>
      <c r="J26" s="118">
        <v>54.04</v>
      </c>
      <c r="K26" s="118">
        <v>150</v>
      </c>
      <c r="L26" s="91">
        <v>5.01</v>
      </c>
      <c r="M26" s="67">
        <v>150</v>
      </c>
      <c r="N26" s="91">
        <v>165.42</v>
      </c>
      <c r="O26" s="67">
        <v>150</v>
      </c>
      <c r="P26" s="91">
        <v>120.16</v>
      </c>
      <c r="Q26" s="67">
        <v>150</v>
      </c>
      <c r="R26" s="91">
        <v>154.15</v>
      </c>
      <c r="S26" s="67">
        <v>150</v>
      </c>
      <c r="T26" s="67">
        <v>119</v>
      </c>
      <c r="U26" s="54">
        <v>150</v>
      </c>
      <c r="V26" s="44">
        <v>37.119999999999997</v>
      </c>
      <c r="W26" s="24">
        <v>50</v>
      </c>
      <c r="X26" s="51">
        <v>276.39999999999998</v>
      </c>
      <c r="Y26" s="24">
        <v>105.04</v>
      </c>
      <c r="Z26" s="28">
        <v>659.87</v>
      </c>
      <c r="AA26" s="27">
        <v>58.38</v>
      </c>
      <c r="AB26" s="28">
        <v>14.62</v>
      </c>
      <c r="AC26" s="28">
        <v>102.55</v>
      </c>
      <c r="AD26" s="41"/>
    </row>
    <row r="27" spans="1:34" ht="12.75" customHeight="1" x14ac:dyDescent="0.2">
      <c r="A27" s="135">
        <v>50301</v>
      </c>
      <c r="B27" s="135" t="s">
        <v>9</v>
      </c>
      <c r="C27" s="142">
        <v>1000</v>
      </c>
      <c r="D27" s="118">
        <v>500</v>
      </c>
      <c r="E27" s="118">
        <v>0</v>
      </c>
      <c r="F27" s="118">
        <v>1000</v>
      </c>
      <c r="G27" s="118">
        <v>400</v>
      </c>
      <c r="H27" s="94">
        <v>0</v>
      </c>
      <c r="I27" s="118">
        <v>1000</v>
      </c>
      <c r="J27" s="118">
        <v>0</v>
      </c>
      <c r="K27" s="118">
        <v>425</v>
      </c>
      <c r="L27" s="91">
        <v>325</v>
      </c>
      <c r="M27" s="67">
        <v>750</v>
      </c>
      <c r="N27" s="91">
        <v>259.42</v>
      </c>
      <c r="O27" s="67">
        <v>1000</v>
      </c>
      <c r="P27" s="91">
        <v>1375</v>
      </c>
      <c r="Q27" s="67">
        <v>750</v>
      </c>
      <c r="R27" s="91">
        <v>1149.5999999999999</v>
      </c>
      <c r="S27" s="67">
        <v>750</v>
      </c>
      <c r="T27" s="67">
        <v>118.81</v>
      </c>
      <c r="U27" s="54">
        <v>500</v>
      </c>
      <c r="V27" s="44"/>
      <c r="W27" s="24">
        <v>300</v>
      </c>
      <c r="X27" s="51">
        <v>0</v>
      </c>
      <c r="Y27" s="24">
        <v>0</v>
      </c>
      <c r="Z27" s="28">
        <v>1545</v>
      </c>
      <c r="AA27" s="27">
        <v>500</v>
      </c>
      <c r="AB27" s="28">
        <v>981.5</v>
      </c>
      <c r="AC27" s="28">
        <v>0</v>
      </c>
      <c r="AD27" s="41"/>
      <c r="AE27" t="s">
        <v>25</v>
      </c>
    </row>
    <row r="28" spans="1:34" ht="12.75" customHeight="1" x14ac:dyDescent="0.2">
      <c r="A28" s="135">
        <v>50302</v>
      </c>
      <c r="B28" s="135" t="s">
        <v>10</v>
      </c>
      <c r="C28" s="142">
        <v>8000</v>
      </c>
      <c r="D28" s="118">
        <v>8500</v>
      </c>
      <c r="E28" s="118">
        <f>7106.29</f>
        <v>7106.29</v>
      </c>
      <c r="F28" s="118">
        <v>7500</v>
      </c>
      <c r="G28" s="118">
        <v>8840</v>
      </c>
      <c r="H28" s="94">
        <v>6060.12</v>
      </c>
      <c r="I28" s="118">
        <v>7500</v>
      </c>
      <c r="J28" s="118">
        <v>0</v>
      </c>
      <c r="K28" s="118">
        <v>7500</v>
      </c>
      <c r="L28" s="91">
        <v>-200</v>
      </c>
      <c r="M28" s="67">
        <v>7500</v>
      </c>
      <c r="N28" s="91">
        <v>7572.86</v>
      </c>
      <c r="O28" s="67">
        <v>6500</v>
      </c>
      <c r="P28" s="91">
        <v>6124</v>
      </c>
      <c r="Q28" s="67">
        <v>6000</v>
      </c>
      <c r="R28" s="91">
        <v>7135.2</v>
      </c>
      <c r="S28" s="67">
        <v>6000</v>
      </c>
      <c r="T28" s="67">
        <v>5602.29</v>
      </c>
      <c r="U28" s="54">
        <v>4500</v>
      </c>
      <c r="V28" s="44">
        <v>4406.67</v>
      </c>
      <c r="W28" s="24">
        <v>4500</v>
      </c>
      <c r="X28" s="51">
        <v>4506.66</v>
      </c>
      <c r="Y28" s="24">
        <v>3502.32</v>
      </c>
      <c r="Z28" s="28">
        <v>3968.7</v>
      </c>
      <c r="AA28" s="27">
        <v>52.5</v>
      </c>
      <c r="AB28" s="28">
        <v>4127.6099999999997</v>
      </c>
      <c r="AC28" s="28">
        <v>2302.83</v>
      </c>
      <c r="AD28" s="41"/>
    </row>
    <row r="29" spans="1:34" ht="12.75" customHeight="1" x14ac:dyDescent="0.2">
      <c r="A29" s="135">
        <v>50303</v>
      </c>
      <c r="B29" s="135" t="s">
        <v>11</v>
      </c>
      <c r="C29" s="142">
        <v>200</v>
      </c>
      <c r="D29" s="118">
        <v>200</v>
      </c>
      <c r="E29" s="118">
        <f>185.73</f>
        <v>185.73</v>
      </c>
      <c r="F29" s="118">
        <v>200</v>
      </c>
      <c r="G29" s="118">
        <v>151.51</v>
      </c>
      <c r="H29" s="94">
        <v>151.51</v>
      </c>
      <c r="I29" s="118">
        <v>200</v>
      </c>
      <c r="J29" s="118">
        <v>0</v>
      </c>
      <c r="K29" s="118">
        <v>200</v>
      </c>
      <c r="L29" s="91">
        <v>0</v>
      </c>
      <c r="M29" s="67">
        <v>200</v>
      </c>
      <c r="N29" s="91">
        <v>195.89</v>
      </c>
      <c r="O29" s="67">
        <v>150</v>
      </c>
      <c r="P29" s="91"/>
      <c r="Q29" s="67">
        <v>150</v>
      </c>
      <c r="R29" s="91">
        <v>479.96</v>
      </c>
      <c r="S29" s="67">
        <v>150</v>
      </c>
      <c r="T29" s="67">
        <v>34.020000000000003</v>
      </c>
      <c r="U29" s="54">
        <v>150</v>
      </c>
      <c r="V29" s="44">
        <v>259.98</v>
      </c>
      <c r="W29" s="24">
        <v>150</v>
      </c>
      <c r="X29" s="51">
        <v>226.12</v>
      </c>
      <c r="Y29" s="24">
        <v>182.47</v>
      </c>
      <c r="Z29" s="28">
        <v>48.83</v>
      </c>
      <c r="AA29" s="27">
        <v>4135.5</v>
      </c>
      <c r="AB29" s="28">
        <v>1241.31</v>
      </c>
      <c r="AC29" s="28">
        <v>0</v>
      </c>
      <c r="AD29" s="41"/>
    </row>
    <row r="30" spans="1:34" ht="12.75" customHeight="1" x14ac:dyDescent="0.2">
      <c r="A30" s="135">
        <v>50291</v>
      </c>
      <c r="B30" s="135" t="s">
        <v>12</v>
      </c>
      <c r="C30" s="142">
        <v>100</v>
      </c>
      <c r="D30" s="118">
        <v>50</v>
      </c>
      <c r="E30" s="118">
        <f>214.12</f>
        <v>214.12</v>
      </c>
      <c r="F30" s="118">
        <v>350</v>
      </c>
      <c r="G30" s="118">
        <v>50</v>
      </c>
      <c r="H30" s="94">
        <v>0</v>
      </c>
      <c r="I30" s="118">
        <v>350</v>
      </c>
      <c r="J30" s="118">
        <v>158.83000000000001</v>
      </c>
      <c r="K30" s="118">
        <v>350</v>
      </c>
      <c r="L30" s="91">
        <v>50</v>
      </c>
      <c r="M30" s="67">
        <v>350</v>
      </c>
      <c r="N30" s="91">
        <v>353.13</v>
      </c>
      <c r="O30" s="67">
        <v>100</v>
      </c>
      <c r="P30" s="91">
        <v>50</v>
      </c>
      <c r="Q30" s="67">
        <v>100</v>
      </c>
      <c r="R30" s="91">
        <v>85</v>
      </c>
      <c r="S30" s="67">
        <v>100</v>
      </c>
      <c r="T30" s="67">
        <v>450</v>
      </c>
      <c r="U30" s="54">
        <v>100</v>
      </c>
      <c r="V30" s="44"/>
      <c r="W30" s="24">
        <v>50</v>
      </c>
      <c r="X30" s="51">
        <v>100</v>
      </c>
      <c r="Y30" s="24">
        <v>100</v>
      </c>
      <c r="Z30" s="28">
        <v>60.78</v>
      </c>
      <c r="AA30" s="27">
        <v>50</v>
      </c>
      <c r="AB30" s="28">
        <v>0</v>
      </c>
      <c r="AC30" s="28">
        <v>0</v>
      </c>
      <c r="AD30" s="43" t="s">
        <v>25</v>
      </c>
    </row>
    <row r="31" spans="1:34" ht="12.75" customHeight="1" x14ac:dyDescent="0.2">
      <c r="A31" s="135">
        <v>50304</v>
      </c>
      <c r="B31" s="135" t="s">
        <v>13</v>
      </c>
      <c r="C31" s="142">
        <v>125</v>
      </c>
      <c r="D31" s="118">
        <v>100</v>
      </c>
      <c r="E31" s="118">
        <f>107.2</f>
        <v>107.2</v>
      </c>
      <c r="F31" s="118">
        <v>100</v>
      </c>
      <c r="G31" s="118"/>
      <c r="H31" s="94">
        <v>89.8</v>
      </c>
      <c r="I31" s="118">
        <v>100</v>
      </c>
      <c r="J31" s="118">
        <v>0</v>
      </c>
      <c r="K31" s="118">
        <v>100</v>
      </c>
      <c r="L31" s="91">
        <v>0</v>
      </c>
      <c r="M31" s="67">
        <v>100</v>
      </c>
      <c r="N31" s="91">
        <v>88.16</v>
      </c>
      <c r="O31" s="67">
        <v>100</v>
      </c>
      <c r="P31" s="91">
        <v>89.93</v>
      </c>
      <c r="Q31" s="67">
        <v>100</v>
      </c>
      <c r="R31" s="91">
        <v>225.77</v>
      </c>
      <c r="S31" s="67">
        <v>100</v>
      </c>
      <c r="T31" s="67">
        <v>88.56</v>
      </c>
      <c r="U31" s="54">
        <v>150</v>
      </c>
      <c r="V31" s="44">
        <v>93.15</v>
      </c>
      <c r="W31" s="24">
        <v>100</v>
      </c>
      <c r="X31" s="51">
        <v>156.80000000000001</v>
      </c>
      <c r="Y31" s="24">
        <v>100.57</v>
      </c>
      <c r="Z31" s="29">
        <v>236.44</v>
      </c>
      <c r="AA31" s="30">
        <v>98.45</v>
      </c>
      <c r="AB31" s="29">
        <v>364</v>
      </c>
      <c r="AC31" s="29">
        <v>0</v>
      </c>
      <c r="AD31" s="41"/>
    </row>
    <row r="32" spans="1:34" ht="12.75" customHeight="1" x14ac:dyDescent="0.2">
      <c r="B32" s="148" t="s">
        <v>16</v>
      </c>
      <c r="C32" s="149">
        <f>SUM(C23:C31)</f>
        <v>10000</v>
      </c>
      <c r="D32" s="120">
        <f>SUM(D23:D31)</f>
        <v>9825</v>
      </c>
      <c r="E32" s="120">
        <f>SUM(E23:E31)</f>
        <v>8110.0899999999992</v>
      </c>
      <c r="F32" s="120">
        <f t="shared" ref="F32:L32" si="3">SUM(F23:F31)</f>
        <v>9975</v>
      </c>
      <c r="G32" s="120">
        <f t="shared" si="3"/>
        <v>9847.83</v>
      </c>
      <c r="H32" s="120">
        <f t="shared" si="3"/>
        <v>6936.68</v>
      </c>
      <c r="I32" s="120">
        <f t="shared" si="3"/>
        <v>9975</v>
      </c>
      <c r="J32" s="120">
        <f t="shared" si="3"/>
        <v>678.26</v>
      </c>
      <c r="K32" s="120">
        <f t="shared" si="3"/>
        <v>9350</v>
      </c>
      <c r="L32" s="68">
        <f t="shared" si="3"/>
        <v>971.21</v>
      </c>
      <c r="M32" s="68">
        <f t="shared" ref="M32:N32" si="4">SUM(M23:M31)</f>
        <v>9725</v>
      </c>
      <c r="N32" s="68">
        <f t="shared" si="4"/>
        <v>9157.5699999999979</v>
      </c>
      <c r="O32" s="68">
        <f t="shared" ref="O32:T32" si="5">SUM(O23:O31)</f>
        <v>8475</v>
      </c>
      <c r="P32" s="68">
        <f t="shared" si="5"/>
        <v>8100.82</v>
      </c>
      <c r="Q32" s="68">
        <f t="shared" si="5"/>
        <v>7650</v>
      </c>
      <c r="R32" s="68">
        <f t="shared" si="5"/>
        <v>9820.5099999999984</v>
      </c>
      <c r="S32" s="68">
        <f t="shared" si="5"/>
        <v>7650</v>
      </c>
      <c r="T32" s="68">
        <f t="shared" si="5"/>
        <v>6747.0900000000011</v>
      </c>
      <c r="U32" s="56">
        <f>SUM(U21,U31)</f>
        <v>5150</v>
      </c>
      <c r="V32" s="46">
        <f>SUM(V23:V31)</f>
        <v>5059.93</v>
      </c>
      <c r="W32" s="24">
        <f t="shared" ref="W32:AC32" si="6">SUM(W23:W31)</f>
        <v>5200</v>
      </c>
      <c r="X32" s="51">
        <f t="shared" si="6"/>
        <v>5471.6</v>
      </c>
      <c r="Y32" s="24">
        <f>SUM(Y23:Y31)</f>
        <v>4403.03</v>
      </c>
      <c r="Z32" s="26">
        <f t="shared" si="6"/>
        <v>6730.2499999999991</v>
      </c>
      <c r="AA32" s="24">
        <f t="shared" si="6"/>
        <v>5152.9799999999996</v>
      </c>
      <c r="AB32" s="24">
        <f t="shared" si="6"/>
        <v>6894.08</v>
      </c>
      <c r="AC32" s="24">
        <f t="shared" si="6"/>
        <v>2718.7</v>
      </c>
      <c r="AD32" s="41"/>
    </row>
    <row r="33" spans="1:31" ht="12.75" customHeight="1" x14ac:dyDescent="0.2">
      <c r="B33" s="148"/>
      <c r="C33" s="148"/>
      <c r="D33" s="120"/>
      <c r="E33" s="120"/>
      <c r="F33" s="125"/>
      <c r="G33" s="125"/>
      <c r="H33" s="125"/>
      <c r="I33" s="120"/>
      <c r="J33" s="120"/>
      <c r="K33" s="120"/>
      <c r="L33" s="68"/>
      <c r="M33" s="68"/>
      <c r="N33" s="68"/>
      <c r="O33" s="68"/>
      <c r="P33" s="68"/>
      <c r="Q33" s="68"/>
      <c r="R33" s="92"/>
      <c r="S33" s="46"/>
      <c r="T33" s="46"/>
      <c r="U33" s="46"/>
      <c r="V33" s="46"/>
      <c r="W33" s="34"/>
      <c r="X33" s="51"/>
      <c r="Y33" s="24"/>
      <c r="Z33" s="26"/>
      <c r="AA33" s="24"/>
      <c r="AB33" s="24"/>
      <c r="AC33" s="24"/>
      <c r="AD33" s="41"/>
    </row>
    <row r="34" spans="1:31" ht="12.75" customHeight="1" x14ac:dyDescent="0.2">
      <c r="B34" s="148" t="s">
        <v>32</v>
      </c>
      <c r="C34" s="149">
        <f>C21+C22-C32</f>
        <v>0</v>
      </c>
      <c r="D34" s="120">
        <f>D21+D22-D32</f>
        <v>-325</v>
      </c>
      <c r="E34" s="120">
        <f>E21+E22-E32</f>
        <v>1403.9100000000008</v>
      </c>
      <c r="F34" s="120">
        <f t="shared" ref="F34:P34" si="7">F21+F22-F32</f>
        <v>-1475</v>
      </c>
      <c r="G34" s="120">
        <f t="shared" si="7"/>
        <v>3485.17</v>
      </c>
      <c r="H34" s="120">
        <f t="shared" si="7"/>
        <v>5768.32</v>
      </c>
      <c r="I34" s="120">
        <f t="shared" si="7"/>
        <v>25</v>
      </c>
      <c r="J34" s="120">
        <f t="shared" si="7"/>
        <v>6736.74</v>
      </c>
      <c r="K34" s="120">
        <f t="shared" si="7"/>
        <v>200</v>
      </c>
      <c r="L34" s="68">
        <f t="shared" si="7"/>
        <v>1228.79</v>
      </c>
      <c r="M34" s="68">
        <f t="shared" si="7"/>
        <v>2025</v>
      </c>
      <c r="N34" s="68">
        <f t="shared" si="7"/>
        <v>4732.4300000000021</v>
      </c>
      <c r="O34" s="68">
        <f t="shared" si="7"/>
        <v>3025</v>
      </c>
      <c r="P34" s="68">
        <f t="shared" si="7"/>
        <v>3579.1800000000003</v>
      </c>
      <c r="Q34" s="68">
        <f t="shared" ref="Q34:V34" si="8">Q21+Q22-Q32</f>
        <v>3350</v>
      </c>
      <c r="R34" s="68">
        <f t="shared" si="8"/>
        <v>5424.4900000000016</v>
      </c>
      <c r="S34" s="69">
        <f t="shared" si="8"/>
        <v>3350</v>
      </c>
      <c r="T34" s="69">
        <f t="shared" si="8"/>
        <v>3627.9099999999989</v>
      </c>
      <c r="U34" s="39">
        <f t="shared" si="8"/>
        <v>2850</v>
      </c>
      <c r="V34" s="34">
        <f t="shared" si="8"/>
        <v>2375.0699999999997</v>
      </c>
      <c r="W34" s="38">
        <f>SUM((W21+W22)-W32)</f>
        <v>4175</v>
      </c>
      <c r="X34" s="47">
        <f>SUM((X21+X22)-X32)</f>
        <v>8344.5499999999993</v>
      </c>
      <c r="Y34" s="26">
        <f>SUM((Y21+Y22)-Y32)</f>
        <v>12201.970000000001</v>
      </c>
      <c r="Z34" s="26">
        <f t="shared" ref="Z34:AC34" si="9">SUM(Z21-Z32)</f>
        <v>5991.7500000000009</v>
      </c>
      <c r="AA34" s="26">
        <f t="shared" si="9"/>
        <v>4647.0200000000004</v>
      </c>
      <c r="AB34" s="26">
        <f t="shared" si="9"/>
        <v>1315.92</v>
      </c>
      <c r="AC34" s="26">
        <f t="shared" si="9"/>
        <v>5956.3</v>
      </c>
      <c r="AD34" s="41"/>
    </row>
    <row r="35" spans="1:31" ht="12.75" customHeight="1" x14ac:dyDescent="0.2">
      <c r="B35" s="148"/>
      <c r="C35" s="148"/>
      <c r="D35" s="124"/>
      <c r="E35" s="124"/>
      <c r="F35" s="124"/>
      <c r="G35" s="124"/>
      <c r="H35" s="124"/>
      <c r="I35" s="170"/>
      <c r="J35" s="170"/>
      <c r="K35" s="170"/>
      <c r="L35" s="84"/>
      <c r="M35" s="84"/>
      <c r="N35" s="89"/>
      <c r="O35" s="84"/>
      <c r="P35" s="89"/>
      <c r="Q35" s="84"/>
      <c r="R35" s="89"/>
      <c r="S35" s="3"/>
      <c r="U35" s="3"/>
      <c r="V35" s="3"/>
      <c r="W35" s="35"/>
      <c r="Z35" s="4"/>
      <c r="AA35" s="21"/>
      <c r="AD35" s="41"/>
    </row>
    <row r="36" spans="1:31" ht="12.75" customHeight="1" x14ac:dyDescent="0.2">
      <c r="A36" s="139" t="s">
        <v>26</v>
      </c>
      <c r="B36" s="148"/>
      <c r="C36" s="148"/>
      <c r="D36" s="124"/>
      <c r="E36" s="124"/>
      <c r="F36" s="124"/>
      <c r="G36" s="124"/>
      <c r="H36" s="124"/>
      <c r="I36" s="170"/>
      <c r="J36" s="170"/>
      <c r="K36" s="170"/>
      <c r="L36" s="84"/>
      <c r="M36" s="84"/>
      <c r="N36" s="89"/>
      <c r="O36" s="84"/>
      <c r="P36" s="89"/>
      <c r="Q36" s="84"/>
      <c r="R36" s="89"/>
      <c r="S36" s="3"/>
      <c r="T36" s="3"/>
      <c r="U36" s="3"/>
      <c r="V36" s="3"/>
      <c r="W36" s="35"/>
      <c r="AA36" s="21"/>
      <c r="AD36" s="41"/>
    </row>
    <row r="37" spans="1:31" ht="12.75" customHeight="1" x14ac:dyDescent="0.2">
      <c r="B37" s="141" t="s">
        <v>4</v>
      </c>
      <c r="C37" s="141"/>
      <c r="D37" s="123"/>
      <c r="E37" s="123"/>
      <c r="F37" s="123"/>
      <c r="G37" s="123"/>
      <c r="H37" s="123"/>
      <c r="I37" s="169"/>
      <c r="J37" s="169"/>
      <c r="K37" s="169"/>
      <c r="L37" s="83"/>
      <c r="M37" s="83"/>
      <c r="N37" s="88"/>
      <c r="O37" s="83"/>
      <c r="P37" s="88"/>
      <c r="Q37" s="83"/>
      <c r="R37" s="88"/>
      <c r="S37" s="1"/>
      <c r="T37" s="1"/>
      <c r="U37" s="1"/>
      <c r="V37" s="1"/>
      <c r="W37" s="36"/>
      <c r="AA37" s="21"/>
      <c r="AD37" s="41"/>
    </row>
    <row r="38" spans="1:31" ht="12.75" customHeight="1" x14ac:dyDescent="0.2">
      <c r="B38" s="146" t="s">
        <v>67</v>
      </c>
      <c r="C38" s="144">
        <f>E38*1.25</f>
        <v>41776.25</v>
      </c>
      <c r="D38" s="71">
        <v>24500</v>
      </c>
      <c r="E38" s="71">
        <v>33421</v>
      </c>
      <c r="F38" s="71">
        <v>24500</v>
      </c>
      <c r="G38" s="71">
        <v>24288</v>
      </c>
      <c r="H38" s="94">
        <v>22975</v>
      </c>
      <c r="I38" s="71">
        <v>24500</v>
      </c>
      <c r="J38" s="71">
        <v>24644</v>
      </c>
      <c r="K38" s="71">
        <v>24500</v>
      </c>
      <c r="L38" s="91">
        <v>0</v>
      </c>
      <c r="M38" s="66">
        <v>24500</v>
      </c>
      <c r="N38" s="96">
        <v>25865</v>
      </c>
      <c r="O38" s="66">
        <v>22500</v>
      </c>
      <c r="P38" s="96">
        <v>25732</v>
      </c>
      <c r="Q38" s="66">
        <v>20000</v>
      </c>
      <c r="R38" s="91">
        <v>17228</v>
      </c>
      <c r="S38" s="66">
        <v>20000</v>
      </c>
      <c r="T38" s="66">
        <v>19076</v>
      </c>
      <c r="U38" s="57">
        <v>19000</v>
      </c>
      <c r="V38" s="66">
        <v>16519.150000000001</v>
      </c>
      <c r="W38" s="26">
        <v>19500</v>
      </c>
      <c r="X38" s="51">
        <v>19748</v>
      </c>
      <c r="Y38" s="24">
        <v>19412</v>
      </c>
      <c r="Z38" s="24">
        <f>SUM(19326.5+17398)</f>
        <v>36724.5</v>
      </c>
      <c r="AA38" s="24">
        <v>28661</v>
      </c>
      <c r="AB38" s="24">
        <v>26816</v>
      </c>
      <c r="AC38" s="24">
        <v>24424.38</v>
      </c>
      <c r="AD38" s="41"/>
    </row>
    <row r="39" spans="1:31" ht="12.75" customHeight="1" x14ac:dyDescent="0.2">
      <c r="B39" s="150" t="s">
        <v>68</v>
      </c>
      <c r="C39" s="151">
        <f>C51-C38</f>
        <v>38048.75</v>
      </c>
      <c r="D39" s="133">
        <v>29250</v>
      </c>
      <c r="E39" s="133"/>
      <c r="F39" s="133"/>
      <c r="G39" s="133">
        <v>29250</v>
      </c>
      <c r="H39" s="126">
        <v>39400</v>
      </c>
      <c r="I39" s="133">
        <v>29500</v>
      </c>
      <c r="J39" s="133">
        <v>34650</v>
      </c>
      <c r="K39" s="71">
        <v>16200</v>
      </c>
      <c r="L39" s="93">
        <v>19800</v>
      </c>
      <c r="M39" s="70">
        <v>42000</v>
      </c>
      <c r="N39" s="93">
        <v>52200</v>
      </c>
      <c r="O39" s="70">
        <v>36000</v>
      </c>
      <c r="P39" s="93">
        <v>37350</v>
      </c>
      <c r="Q39" s="70">
        <v>30000</v>
      </c>
      <c r="R39" s="93">
        <v>33800</v>
      </c>
      <c r="S39" s="70">
        <v>33000</v>
      </c>
      <c r="T39" s="70">
        <v>35100</v>
      </c>
      <c r="U39" s="57">
        <v>27000</v>
      </c>
      <c r="V39" s="70">
        <v>22950</v>
      </c>
      <c r="W39" s="26">
        <v>27000</v>
      </c>
      <c r="X39" s="51">
        <v>18425</v>
      </c>
      <c r="Y39" s="24">
        <v>25795</v>
      </c>
      <c r="Z39" s="24"/>
      <c r="AA39" s="24"/>
      <c r="AB39" s="24"/>
      <c r="AC39" s="24"/>
      <c r="AD39" s="41"/>
    </row>
    <row r="40" spans="1:31" ht="12.75" customHeight="1" x14ac:dyDescent="0.2">
      <c r="A40" s="135">
        <v>50201</v>
      </c>
      <c r="B40" s="135" t="s">
        <v>5</v>
      </c>
      <c r="C40" s="142">
        <v>75</v>
      </c>
      <c r="D40" s="118">
        <v>75</v>
      </c>
      <c r="E40" s="118">
        <f>2.13</f>
        <v>2.13</v>
      </c>
      <c r="F40" s="118">
        <v>75</v>
      </c>
      <c r="G40" s="118">
        <v>97.56</v>
      </c>
      <c r="H40" s="94">
        <v>108.51</v>
      </c>
      <c r="I40" s="118">
        <v>75</v>
      </c>
      <c r="J40" s="118">
        <v>157.97999999999999</v>
      </c>
      <c r="K40" s="118">
        <v>75</v>
      </c>
      <c r="L40" s="91"/>
      <c r="M40" s="67">
        <v>75</v>
      </c>
      <c r="N40" s="96">
        <v>46.37</v>
      </c>
      <c r="O40" s="67">
        <v>75</v>
      </c>
      <c r="P40" s="96">
        <v>39.22</v>
      </c>
      <c r="Q40" s="67">
        <v>75</v>
      </c>
      <c r="R40" s="91">
        <v>58.84</v>
      </c>
      <c r="S40" s="67">
        <v>75</v>
      </c>
      <c r="T40" s="77">
        <v>79.290000000000006</v>
      </c>
      <c r="U40" s="58">
        <v>75</v>
      </c>
      <c r="V40" s="67">
        <v>206.04</v>
      </c>
      <c r="W40" s="24">
        <v>0</v>
      </c>
      <c r="X40" s="51">
        <v>74.02</v>
      </c>
      <c r="Y40" s="24">
        <v>80</v>
      </c>
      <c r="Z40" s="28">
        <v>131.5</v>
      </c>
      <c r="AA40" s="27">
        <v>439.97</v>
      </c>
      <c r="AB40" s="24">
        <v>206.25</v>
      </c>
      <c r="AC40" s="24">
        <v>397.92</v>
      </c>
      <c r="AD40" s="41"/>
    </row>
    <row r="41" spans="1:31" ht="12.75" customHeight="1" x14ac:dyDescent="0.2">
      <c r="A41" s="135">
        <v>50202</v>
      </c>
      <c r="B41" s="135" t="s">
        <v>6</v>
      </c>
      <c r="C41" s="142">
        <v>150</v>
      </c>
      <c r="D41" s="118">
        <v>150</v>
      </c>
      <c r="E41" s="118">
        <f>64.36</f>
        <v>64.36</v>
      </c>
      <c r="F41" s="118">
        <v>150</v>
      </c>
      <c r="G41" s="118">
        <v>64.36</v>
      </c>
      <c r="H41" s="94">
        <v>67.19</v>
      </c>
      <c r="I41" s="118">
        <v>150</v>
      </c>
      <c r="J41" s="118">
        <v>118.16</v>
      </c>
      <c r="K41" s="118">
        <v>150</v>
      </c>
      <c r="L41" s="91"/>
      <c r="M41" s="67">
        <v>150</v>
      </c>
      <c r="N41" s="96">
        <v>118.16</v>
      </c>
      <c r="O41" s="67">
        <v>150</v>
      </c>
      <c r="P41" s="96">
        <v>52.75</v>
      </c>
      <c r="Q41" s="67">
        <v>150</v>
      </c>
      <c r="R41" s="91">
        <v>320.45</v>
      </c>
      <c r="S41" s="67">
        <v>150</v>
      </c>
      <c r="T41" s="77">
        <v>64.36</v>
      </c>
      <c r="U41" s="58">
        <v>125</v>
      </c>
      <c r="V41" s="67">
        <v>64.36</v>
      </c>
      <c r="W41" s="24">
        <v>50</v>
      </c>
      <c r="X41" s="51">
        <v>182.52</v>
      </c>
      <c r="Y41" s="24">
        <v>128.1</v>
      </c>
      <c r="Z41" s="28">
        <v>2941.42</v>
      </c>
      <c r="AA41" s="27">
        <v>371.97</v>
      </c>
      <c r="AB41" s="24">
        <v>452.45</v>
      </c>
      <c r="AC41" s="24">
        <v>473.47</v>
      </c>
      <c r="AD41" s="41"/>
    </row>
    <row r="42" spans="1:31" ht="12.75" customHeight="1" x14ac:dyDescent="0.2">
      <c r="A42" s="135">
        <v>50203</v>
      </c>
      <c r="B42" s="135" t="s">
        <v>7</v>
      </c>
      <c r="C42" s="142">
        <v>750</v>
      </c>
      <c r="D42" s="118">
        <v>750</v>
      </c>
      <c r="E42" s="118">
        <v>0</v>
      </c>
      <c r="F42" s="118">
        <v>1100</v>
      </c>
      <c r="G42" s="118">
        <v>768.41</v>
      </c>
      <c r="H42" s="94">
        <v>690.3</v>
      </c>
      <c r="I42" s="118">
        <v>1100</v>
      </c>
      <c r="J42" s="118">
        <v>533.11</v>
      </c>
      <c r="K42" s="118">
        <v>1100</v>
      </c>
      <c r="L42" s="91">
        <v>3.15</v>
      </c>
      <c r="M42" s="67">
        <v>1100</v>
      </c>
      <c r="N42" s="96">
        <v>1068.2</v>
      </c>
      <c r="O42" s="67">
        <v>450</v>
      </c>
      <c r="P42" s="96">
        <v>635.66</v>
      </c>
      <c r="Q42" s="67">
        <v>400</v>
      </c>
      <c r="R42" s="91">
        <v>475.41</v>
      </c>
      <c r="S42" s="67">
        <v>400</v>
      </c>
      <c r="T42" s="77">
        <v>225.42</v>
      </c>
      <c r="U42" s="58">
        <v>400</v>
      </c>
      <c r="V42" s="67">
        <v>427.13</v>
      </c>
      <c r="W42" s="24">
        <v>50</v>
      </c>
      <c r="X42" s="51">
        <v>254.01</v>
      </c>
      <c r="Y42" s="24">
        <v>568.38</v>
      </c>
      <c r="Z42" s="28">
        <v>518.25</v>
      </c>
      <c r="AA42" s="27">
        <v>393.9</v>
      </c>
      <c r="AB42" s="24">
        <v>120.39</v>
      </c>
      <c r="AC42" s="24">
        <v>157.53</v>
      </c>
      <c r="AD42" s="41"/>
    </row>
    <row r="43" spans="1:31" ht="12.75" customHeight="1" x14ac:dyDescent="0.2">
      <c r="A43" s="135">
        <v>50204</v>
      </c>
      <c r="B43" s="135" t="s">
        <v>8</v>
      </c>
      <c r="C43" s="142">
        <v>200</v>
      </c>
      <c r="D43" s="118">
        <v>200</v>
      </c>
      <c r="E43" s="118">
        <v>0</v>
      </c>
      <c r="F43" s="118">
        <v>500</v>
      </c>
      <c r="G43" s="118">
        <v>168.25</v>
      </c>
      <c r="H43" s="94">
        <v>151.66</v>
      </c>
      <c r="I43" s="118">
        <v>500</v>
      </c>
      <c r="J43" s="118">
        <v>58.08</v>
      </c>
      <c r="K43" s="118">
        <v>500</v>
      </c>
      <c r="L43" s="91">
        <v>0.47</v>
      </c>
      <c r="M43" s="67">
        <v>500</v>
      </c>
      <c r="N43" s="96">
        <v>529.25</v>
      </c>
      <c r="O43" s="67">
        <v>400</v>
      </c>
      <c r="P43" s="96">
        <v>655</v>
      </c>
      <c r="Q43" s="67">
        <v>400</v>
      </c>
      <c r="R43" s="91">
        <v>286.82</v>
      </c>
      <c r="S43" s="67">
        <v>400</v>
      </c>
      <c r="T43" s="77">
        <v>532.91</v>
      </c>
      <c r="U43" s="58">
        <v>300</v>
      </c>
      <c r="V43" s="67">
        <v>393.76</v>
      </c>
      <c r="W43" s="24">
        <v>50</v>
      </c>
      <c r="X43" s="51">
        <v>351.64</v>
      </c>
      <c r="Y43" s="24">
        <v>73.959999999999994</v>
      </c>
      <c r="Z43" s="28">
        <v>477.87</v>
      </c>
      <c r="AA43" s="27">
        <v>815.67</v>
      </c>
      <c r="AB43" s="28">
        <v>81.78</v>
      </c>
      <c r="AC43" s="28">
        <v>91.08</v>
      </c>
      <c r="AD43" s="41"/>
    </row>
    <row r="44" spans="1:31" ht="12.75" customHeight="1" x14ac:dyDescent="0.2">
      <c r="A44" s="135">
        <v>50301</v>
      </c>
      <c r="B44" s="135" t="s">
        <v>9</v>
      </c>
      <c r="C44" s="142">
        <v>5000</v>
      </c>
      <c r="D44" s="118">
        <v>3000</v>
      </c>
      <c r="E44" s="118">
        <f>313.42+7500+562.58</f>
        <v>8376</v>
      </c>
      <c r="F44" s="118">
        <v>6000</v>
      </c>
      <c r="G44" s="118">
        <v>2796.43</v>
      </c>
      <c r="H44" s="94">
        <v>4208.08</v>
      </c>
      <c r="I44" s="118">
        <v>6000</v>
      </c>
      <c r="J44" s="118">
        <v>5967.42</v>
      </c>
      <c r="K44" s="118">
        <v>6000</v>
      </c>
      <c r="L44" s="91"/>
      <c r="M44" s="67">
        <v>6000</v>
      </c>
      <c r="N44" s="96">
        <v>4971.09</v>
      </c>
      <c r="O44" s="67">
        <v>6000</v>
      </c>
      <c r="P44" s="96">
        <v>1191.57</v>
      </c>
      <c r="Q44" s="67">
        <v>5000</v>
      </c>
      <c r="R44" s="91">
        <v>1358.86</v>
      </c>
      <c r="S44" s="67">
        <v>5000</v>
      </c>
      <c r="T44" s="77">
        <v>1779.14</v>
      </c>
      <c r="U44" s="58">
        <v>5000</v>
      </c>
      <c r="V44" s="67">
        <v>1778</v>
      </c>
      <c r="W44" s="24">
        <v>6000</v>
      </c>
      <c r="X44" s="51">
        <v>8027.79</v>
      </c>
      <c r="Y44" s="24">
        <v>9886.56</v>
      </c>
      <c r="Z44" s="28">
        <v>8023.49</v>
      </c>
      <c r="AA44" s="27">
        <v>5085</v>
      </c>
      <c r="AB44" s="28">
        <v>1807.89</v>
      </c>
      <c r="AC44" s="28">
        <v>3330.72</v>
      </c>
      <c r="AD44" s="41"/>
      <c r="AE44" s="17"/>
    </row>
    <row r="45" spans="1:31" ht="12.75" customHeight="1" x14ac:dyDescent="0.2">
      <c r="A45" s="135">
        <v>50302</v>
      </c>
      <c r="B45" s="135" t="s">
        <v>10</v>
      </c>
      <c r="C45" s="142">
        <v>64500</v>
      </c>
      <c r="D45" s="134">
        <v>50000</v>
      </c>
      <c r="E45" s="134">
        <f>2000+2619.4+2000</f>
        <v>6619.4</v>
      </c>
      <c r="F45" s="118">
        <v>45000</v>
      </c>
      <c r="G45" s="118">
        <v>47774.83</v>
      </c>
      <c r="H45" s="94">
        <v>50700.73</v>
      </c>
      <c r="I45" s="118">
        <v>45000</v>
      </c>
      <c r="J45" s="118">
        <v>48926.76</v>
      </c>
      <c r="K45" s="118">
        <v>39000</v>
      </c>
      <c r="L45" s="91"/>
      <c r="M45" s="67">
        <v>39000</v>
      </c>
      <c r="N45" s="96">
        <v>39838.28</v>
      </c>
      <c r="O45" s="67">
        <v>37000</v>
      </c>
      <c r="P45" s="96">
        <v>36430.53</v>
      </c>
      <c r="Q45" s="67">
        <v>34000</v>
      </c>
      <c r="R45" s="91">
        <v>31723.89</v>
      </c>
      <c r="S45" s="67">
        <v>34000</v>
      </c>
      <c r="T45" s="77">
        <v>27653.06</v>
      </c>
      <c r="U45" s="58">
        <v>30000</v>
      </c>
      <c r="V45" s="67">
        <v>22705.22</v>
      </c>
      <c r="W45" s="24">
        <v>31000</v>
      </c>
      <c r="X45" s="51">
        <v>37955.99</v>
      </c>
      <c r="Y45" s="24">
        <v>35653.39</v>
      </c>
      <c r="Z45" s="28">
        <v>29822.12</v>
      </c>
      <c r="AA45" s="27">
        <v>7030</v>
      </c>
      <c r="AB45" s="28">
        <v>21236.92</v>
      </c>
      <c r="AC45" s="28">
        <v>2432.58</v>
      </c>
      <c r="AD45" s="41"/>
    </row>
    <row r="46" spans="1:31" ht="12.75" customHeight="1" x14ac:dyDescent="0.2">
      <c r="A46" s="135">
        <v>50303</v>
      </c>
      <c r="B46" s="135" t="s">
        <v>11</v>
      </c>
      <c r="C46" s="142">
        <v>450</v>
      </c>
      <c r="D46" s="118">
        <v>450</v>
      </c>
      <c r="E46" s="118"/>
      <c r="F46" s="118">
        <v>450</v>
      </c>
      <c r="G46" s="118">
        <v>581.04</v>
      </c>
      <c r="H46" s="94">
        <v>218.82</v>
      </c>
      <c r="I46" s="118">
        <v>450</v>
      </c>
      <c r="J46" s="118">
        <v>489.16</v>
      </c>
      <c r="K46" s="118">
        <v>450</v>
      </c>
      <c r="L46" s="91"/>
      <c r="M46" s="67">
        <v>450</v>
      </c>
      <c r="N46" s="96">
        <v>444.11</v>
      </c>
      <c r="O46" s="67">
        <v>300</v>
      </c>
      <c r="P46" s="96">
        <v>627.62</v>
      </c>
      <c r="Q46" s="67">
        <v>300</v>
      </c>
      <c r="R46" s="91">
        <v>212.05</v>
      </c>
      <c r="S46" s="67">
        <v>300</v>
      </c>
      <c r="T46" s="77">
        <v>90.6</v>
      </c>
      <c r="U46" s="58">
        <v>300</v>
      </c>
      <c r="V46" s="67">
        <v>257.60000000000002</v>
      </c>
      <c r="W46" s="24">
        <v>300</v>
      </c>
      <c r="X46" s="51">
        <v>2008.29</v>
      </c>
      <c r="Y46" s="24">
        <v>679.97</v>
      </c>
      <c r="Z46" s="28">
        <v>206.08</v>
      </c>
      <c r="AA46" s="27">
        <v>19489.28</v>
      </c>
      <c r="AB46" s="28">
        <v>116.3</v>
      </c>
      <c r="AC46" s="28">
        <v>22098.91</v>
      </c>
      <c r="AD46" s="41"/>
    </row>
    <row r="47" spans="1:31" ht="12.75" customHeight="1" x14ac:dyDescent="0.2">
      <c r="A47" s="135">
        <v>50291</v>
      </c>
      <c r="B47" s="135" t="s">
        <v>12</v>
      </c>
      <c r="C47" s="142">
        <v>450</v>
      </c>
      <c r="D47" s="118">
        <v>450</v>
      </c>
      <c r="E47" s="118">
        <v>0</v>
      </c>
      <c r="F47" s="118">
        <v>450</v>
      </c>
      <c r="G47" s="118">
        <v>9059.77</v>
      </c>
      <c r="H47" s="94">
        <v>392.04</v>
      </c>
      <c r="I47" s="118">
        <v>450</v>
      </c>
      <c r="J47" s="118">
        <v>438.46</v>
      </c>
      <c r="K47" s="118">
        <v>450</v>
      </c>
      <c r="L47" s="91"/>
      <c r="M47" s="67">
        <v>450</v>
      </c>
      <c r="N47" s="96">
        <v>424.43</v>
      </c>
      <c r="O47" s="67">
        <v>500</v>
      </c>
      <c r="P47" s="96">
        <v>312.89</v>
      </c>
      <c r="Q47" s="67">
        <v>500</v>
      </c>
      <c r="R47" s="91">
        <v>497.26</v>
      </c>
      <c r="S47" s="67">
        <v>500</v>
      </c>
      <c r="T47" s="77">
        <v>518.4</v>
      </c>
      <c r="U47" s="58">
        <v>250</v>
      </c>
      <c r="V47" s="67">
        <v>767.16</v>
      </c>
      <c r="W47" s="24">
        <v>50</v>
      </c>
      <c r="X47" s="51">
        <v>0</v>
      </c>
      <c r="Y47" s="24">
        <v>0</v>
      </c>
      <c r="Z47" s="28">
        <v>3562.53</v>
      </c>
      <c r="AA47" s="27">
        <v>973.75</v>
      </c>
      <c r="AB47" s="28">
        <v>366.68</v>
      </c>
      <c r="AC47" s="28">
        <v>0</v>
      </c>
      <c r="AD47" s="41"/>
    </row>
    <row r="48" spans="1:31" s="48" customFormat="1" ht="12.75" customHeight="1" x14ac:dyDescent="0.2">
      <c r="A48" s="135">
        <v>50412</v>
      </c>
      <c r="B48" s="180" t="s">
        <v>74</v>
      </c>
      <c r="C48" s="144">
        <v>3000</v>
      </c>
      <c r="D48" s="71">
        <v>2000</v>
      </c>
      <c r="E48" s="71">
        <f>819.01+1920</f>
        <v>2739.01</v>
      </c>
      <c r="F48" s="71">
        <v>2000</v>
      </c>
      <c r="G48" s="71">
        <v>1239</v>
      </c>
      <c r="H48" s="94">
        <v>0</v>
      </c>
      <c r="I48" s="71">
        <v>2000</v>
      </c>
      <c r="J48" s="71">
        <v>916.15</v>
      </c>
      <c r="K48" s="71">
        <v>2000</v>
      </c>
      <c r="L48" s="94"/>
      <c r="M48" s="71">
        <v>2000</v>
      </c>
      <c r="N48" s="96">
        <v>1817.69</v>
      </c>
      <c r="O48" s="71">
        <v>2000</v>
      </c>
      <c r="P48" s="96">
        <v>2432.9499999999998</v>
      </c>
      <c r="Q48" s="71">
        <v>1500</v>
      </c>
      <c r="R48" s="94">
        <v>2292.9499999999998</v>
      </c>
      <c r="S48" s="71">
        <v>1500</v>
      </c>
      <c r="T48" s="78">
        <v>1757.69</v>
      </c>
      <c r="U48" s="59">
        <v>1500</v>
      </c>
      <c r="V48" s="71">
        <v>991.56</v>
      </c>
      <c r="W48" s="47">
        <v>1500</v>
      </c>
      <c r="X48" s="51">
        <v>1501.84</v>
      </c>
      <c r="Y48" s="51">
        <v>1663.93</v>
      </c>
      <c r="Z48" s="60">
        <v>2688.85</v>
      </c>
      <c r="AA48" s="60">
        <v>-72.760000000000005</v>
      </c>
      <c r="AB48" s="61">
        <v>-233.75</v>
      </c>
      <c r="AC48" s="60">
        <v>0</v>
      </c>
      <c r="AD48" s="62"/>
    </row>
    <row r="49" spans="1:30" ht="12.75" customHeight="1" x14ac:dyDescent="0.2">
      <c r="A49" s="135">
        <v>50304</v>
      </c>
      <c r="B49" s="135" t="s">
        <v>13</v>
      </c>
      <c r="C49" s="142">
        <v>250</v>
      </c>
      <c r="D49" s="118">
        <v>250</v>
      </c>
      <c r="E49" s="118"/>
      <c r="F49" s="118">
        <v>250</v>
      </c>
      <c r="G49" s="118">
        <v>196.5</v>
      </c>
      <c r="H49" s="94">
        <v>225.98</v>
      </c>
      <c r="I49" s="118">
        <v>250</v>
      </c>
      <c r="J49" s="118">
        <v>86.8</v>
      </c>
      <c r="K49" s="118">
        <v>250</v>
      </c>
      <c r="L49" s="91"/>
      <c r="M49" s="67">
        <v>250</v>
      </c>
      <c r="N49" s="96">
        <v>286.47000000000003</v>
      </c>
      <c r="O49" s="67">
        <v>500</v>
      </c>
      <c r="P49" s="96">
        <v>247.98</v>
      </c>
      <c r="Q49" s="67">
        <v>500</v>
      </c>
      <c r="R49" s="91">
        <v>285.18</v>
      </c>
      <c r="S49" s="67">
        <v>500</v>
      </c>
      <c r="T49" s="77">
        <v>359.04</v>
      </c>
      <c r="U49" s="58">
        <v>500</v>
      </c>
      <c r="V49" s="67">
        <v>327.27</v>
      </c>
      <c r="W49" s="24">
        <v>200</v>
      </c>
      <c r="X49" s="51">
        <v>473.76</v>
      </c>
      <c r="Y49" s="24">
        <v>765.28</v>
      </c>
      <c r="Z49" s="29">
        <v>612.16999999999996</v>
      </c>
      <c r="AA49" s="30">
        <v>263.45</v>
      </c>
      <c r="AB49" s="29">
        <v>175</v>
      </c>
      <c r="AC49" s="29">
        <v>106.7</v>
      </c>
      <c r="AD49" s="41"/>
    </row>
    <row r="50" spans="1:30" ht="12.75" customHeight="1" x14ac:dyDescent="0.2">
      <c r="A50" s="146">
        <v>50420</v>
      </c>
      <c r="B50" s="146" t="s">
        <v>63</v>
      </c>
      <c r="C50" s="147">
        <v>5000</v>
      </c>
      <c r="D50" s="94">
        <v>9000</v>
      </c>
      <c r="E50" s="94">
        <v>3300</v>
      </c>
      <c r="F50" s="118"/>
      <c r="G50" s="118"/>
      <c r="H50" s="94"/>
      <c r="I50" s="118"/>
      <c r="J50" s="118"/>
      <c r="K50" s="118"/>
      <c r="L50" s="91"/>
      <c r="M50" s="67"/>
      <c r="N50" s="96"/>
      <c r="O50" s="67"/>
      <c r="P50" s="96"/>
      <c r="Q50" s="67"/>
      <c r="R50" s="91"/>
      <c r="S50" s="67"/>
      <c r="T50" s="77"/>
      <c r="U50" s="58"/>
      <c r="V50" s="67"/>
      <c r="W50" s="24"/>
      <c r="X50" s="51"/>
      <c r="Y50" s="24"/>
      <c r="Z50" s="29"/>
      <c r="AA50" s="30"/>
      <c r="AB50" s="29"/>
      <c r="AC50" s="29"/>
      <c r="AD50" s="41"/>
    </row>
    <row r="51" spans="1:30" ht="12.75" customHeight="1" x14ac:dyDescent="0.2">
      <c r="B51" s="148" t="s">
        <v>16</v>
      </c>
      <c r="C51" s="149">
        <f>SUM(C40:C50)</f>
        <v>79825</v>
      </c>
      <c r="D51" s="120">
        <f>SUM(D40:D50)</f>
        <v>66325</v>
      </c>
      <c r="E51" s="120">
        <f>SUM(E40:E50)</f>
        <v>21100.9</v>
      </c>
      <c r="F51" s="120">
        <f t="shared" ref="F51:J51" si="10">SUM(F40:F49)</f>
        <v>55975</v>
      </c>
      <c r="G51" s="120">
        <f t="shared" si="10"/>
        <v>62746.150000000009</v>
      </c>
      <c r="H51" s="120">
        <f t="shared" si="10"/>
        <v>56763.310000000005</v>
      </c>
      <c r="I51" s="120">
        <f t="shared" si="10"/>
        <v>55975</v>
      </c>
      <c r="J51" s="120">
        <f t="shared" si="10"/>
        <v>57692.080000000009</v>
      </c>
      <c r="K51" s="120">
        <f t="shared" ref="K51:P51" si="11">SUM(K40:K49)</f>
        <v>49975</v>
      </c>
      <c r="L51" s="68">
        <f t="shared" si="11"/>
        <v>3.62</v>
      </c>
      <c r="M51" s="68">
        <f t="shared" si="11"/>
        <v>49975</v>
      </c>
      <c r="N51" s="68">
        <f t="shared" si="11"/>
        <v>49544.05</v>
      </c>
      <c r="O51" s="68">
        <f t="shared" si="11"/>
        <v>47375</v>
      </c>
      <c r="P51" s="68">
        <f t="shared" si="11"/>
        <v>42626.17</v>
      </c>
      <c r="Q51" s="68">
        <f t="shared" ref="Q51:V51" si="12">SUM(Q40:Q49)</f>
        <v>42825</v>
      </c>
      <c r="R51" s="68">
        <f t="shared" si="12"/>
        <v>37511.71</v>
      </c>
      <c r="S51" s="69">
        <f t="shared" si="12"/>
        <v>42825</v>
      </c>
      <c r="T51" s="79">
        <f t="shared" si="12"/>
        <v>33059.909999999996</v>
      </c>
      <c r="U51" s="56">
        <f t="shared" si="12"/>
        <v>38450</v>
      </c>
      <c r="V51" s="68">
        <f t="shared" si="12"/>
        <v>27918.100000000002</v>
      </c>
      <c r="W51" s="24">
        <f t="shared" ref="W51:AC51" si="13">SUM(W40:W49)</f>
        <v>39200</v>
      </c>
      <c r="X51" s="51">
        <f t="shared" si="13"/>
        <v>50829.86</v>
      </c>
      <c r="Y51" s="24">
        <f t="shared" si="13"/>
        <v>49499.57</v>
      </c>
      <c r="Z51" s="26">
        <f t="shared" si="13"/>
        <v>48984.279999999992</v>
      </c>
      <c r="AA51" s="24">
        <f t="shared" si="13"/>
        <v>34790.229999999996</v>
      </c>
      <c r="AB51" s="24">
        <f t="shared" si="13"/>
        <v>24329.91</v>
      </c>
      <c r="AC51" s="24">
        <f t="shared" si="13"/>
        <v>29088.91</v>
      </c>
      <c r="AD51" s="41"/>
    </row>
    <row r="52" spans="1:30" ht="12.75" customHeight="1" x14ac:dyDescent="0.2">
      <c r="A52" s="153">
        <f>E48/20</f>
        <v>136.95050000000001</v>
      </c>
      <c r="B52" s="148"/>
      <c r="C52" s="148"/>
      <c r="D52" s="120"/>
      <c r="E52" s="120"/>
      <c r="F52" s="125"/>
      <c r="G52" s="125"/>
      <c r="H52" s="125"/>
      <c r="I52" s="120"/>
      <c r="J52" s="120"/>
      <c r="K52" s="120"/>
      <c r="L52" s="68"/>
      <c r="M52" s="68"/>
      <c r="N52" s="68"/>
      <c r="O52" s="68"/>
      <c r="P52" s="68"/>
      <c r="Q52" s="68"/>
      <c r="R52" s="92"/>
      <c r="S52" s="46"/>
      <c r="T52" s="79"/>
      <c r="U52" s="46"/>
      <c r="V52" s="68"/>
      <c r="W52" s="34"/>
      <c r="X52" s="51"/>
      <c r="Y52" s="24"/>
      <c r="Z52" s="26"/>
      <c r="AA52" s="24"/>
      <c r="AB52" s="24"/>
      <c r="AC52" s="24"/>
      <c r="AD52" s="41"/>
    </row>
    <row r="53" spans="1:30" ht="12.75" customHeight="1" x14ac:dyDescent="0.2">
      <c r="B53" s="148" t="s">
        <v>32</v>
      </c>
      <c r="C53" s="149">
        <f t="shared" ref="C53:J53" si="14">C38+C39-C51</f>
        <v>0</v>
      </c>
      <c r="D53" s="120">
        <f t="shared" si="14"/>
        <v>-12575</v>
      </c>
      <c r="E53" s="120">
        <f t="shared" si="14"/>
        <v>12320.099999999999</v>
      </c>
      <c r="F53" s="120">
        <f t="shared" si="14"/>
        <v>-31475</v>
      </c>
      <c r="G53" s="120">
        <f t="shared" si="14"/>
        <v>-9208.1500000000087</v>
      </c>
      <c r="H53" s="120">
        <f t="shared" si="14"/>
        <v>5611.6899999999951</v>
      </c>
      <c r="I53" s="120">
        <f t="shared" si="14"/>
        <v>-1975</v>
      </c>
      <c r="J53" s="120">
        <f t="shared" si="14"/>
        <v>1601.919999999991</v>
      </c>
      <c r="K53" s="120">
        <f>K38+K39-K51</f>
        <v>-9275</v>
      </c>
      <c r="L53" s="68">
        <f>L38+L39-L51</f>
        <v>19796.38</v>
      </c>
      <c r="M53" s="68">
        <f t="shared" ref="M53:N53" si="15">M38+M39-M51</f>
        <v>16525</v>
      </c>
      <c r="N53" s="68">
        <f t="shared" si="15"/>
        <v>28520.949999999997</v>
      </c>
      <c r="O53" s="68">
        <f t="shared" ref="O53:T53" si="16">O38+O39-O51</f>
        <v>11125</v>
      </c>
      <c r="P53" s="68">
        <f t="shared" si="16"/>
        <v>20455.830000000002</v>
      </c>
      <c r="Q53" s="68">
        <f t="shared" si="16"/>
        <v>7175</v>
      </c>
      <c r="R53" s="68">
        <f t="shared" si="16"/>
        <v>13516.29</v>
      </c>
      <c r="S53" s="69">
        <f t="shared" si="16"/>
        <v>10175</v>
      </c>
      <c r="T53" s="79">
        <f t="shared" si="16"/>
        <v>21116.090000000004</v>
      </c>
      <c r="U53" s="39">
        <f>SUM((U38+U39)-U51)</f>
        <v>7550</v>
      </c>
      <c r="V53" s="68">
        <f>V38+V39-V51</f>
        <v>11551.05</v>
      </c>
      <c r="W53" s="39">
        <f>SUM((W38+W39)-W51)</f>
        <v>7300</v>
      </c>
      <c r="X53" s="47">
        <f>SUM((X38+X39)-X51)</f>
        <v>-12656.86</v>
      </c>
      <c r="Y53" s="26">
        <f>SUM((Y38+Y39)-Y51)</f>
        <v>-4292.57</v>
      </c>
      <c r="Z53" s="26">
        <f>SUM(Z38-Z51)</f>
        <v>-12259.779999999992</v>
      </c>
      <c r="AA53" s="26">
        <f t="shared" ref="AA53:AC53" si="17">SUM(AA38-AA51)</f>
        <v>-6129.2299999999959</v>
      </c>
      <c r="AB53" s="26">
        <f t="shared" si="17"/>
        <v>2486.09</v>
      </c>
      <c r="AC53" s="26">
        <f t="shared" si="17"/>
        <v>-4664.5299999999988</v>
      </c>
      <c r="AD53" s="41"/>
    </row>
    <row r="54" spans="1:30" ht="12.75" customHeight="1" x14ac:dyDescent="0.2">
      <c r="B54" s="148"/>
      <c r="C54" s="148"/>
      <c r="D54" s="170"/>
      <c r="E54" s="170"/>
      <c r="F54" s="124"/>
      <c r="G54" s="124"/>
      <c r="H54" s="124"/>
      <c r="I54" s="170"/>
      <c r="J54" s="170"/>
      <c r="K54" s="170"/>
      <c r="L54" s="84"/>
      <c r="M54" s="84"/>
      <c r="N54" s="89"/>
      <c r="O54" s="84"/>
      <c r="P54" s="89"/>
      <c r="Q54" s="84"/>
      <c r="R54" s="89"/>
      <c r="S54" s="3"/>
      <c r="T54" s="3"/>
      <c r="U54" s="3"/>
      <c r="V54" s="3"/>
      <c r="W54" s="35"/>
      <c r="Z54" s="4"/>
      <c r="AA54" s="21"/>
      <c r="AD54" s="41"/>
    </row>
    <row r="55" spans="1:30" ht="12.75" customHeight="1" x14ac:dyDescent="0.2">
      <c r="A55" s="139" t="s">
        <v>28</v>
      </c>
      <c r="B55" s="148"/>
      <c r="C55" s="148"/>
      <c r="D55" s="170"/>
      <c r="E55" s="170"/>
      <c r="F55" s="124"/>
      <c r="G55" s="124"/>
      <c r="H55" s="124"/>
      <c r="I55" s="170"/>
      <c r="J55" s="170"/>
      <c r="K55" s="170"/>
      <c r="L55" s="84"/>
      <c r="M55" s="84"/>
      <c r="N55" s="89"/>
      <c r="O55" s="84"/>
      <c r="P55" s="89"/>
      <c r="Q55" s="84"/>
      <c r="R55" s="89"/>
      <c r="S55" s="3"/>
      <c r="T55" s="3"/>
      <c r="U55" s="3"/>
      <c r="V55" s="3"/>
      <c r="W55" s="35"/>
      <c r="AA55" s="21"/>
      <c r="AD55" s="41"/>
    </row>
    <row r="56" spans="1:30" ht="12.75" customHeight="1" x14ac:dyDescent="0.2">
      <c r="B56" s="141" t="s">
        <v>27</v>
      </c>
      <c r="C56" s="141"/>
      <c r="D56" s="169"/>
      <c r="E56" s="169"/>
      <c r="F56" s="123"/>
      <c r="G56" s="123"/>
      <c r="H56" s="123"/>
      <c r="I56" s="169"/>
      <c r="J56" s="169"/>
      <c r="K56" s="169"/>
      <c r="L56" s="83"/>
      <c r="M56" s="83"/>
      <c r="N56" s="88"/>
      <c r="O56" s="83"/>
      <c r="P56" s="88"/>
      <c r="Q56" s="83"/>
      <c r="R56" s="88"/>
      <c r="S56" s="1"/>
      <c r="T56" s="1"/>
      <c r="U56" s="1"/>
      <c r="V56" s="1"/>
      <c r="W56" s="36"/>
      <c r="AA56" s="21"/>
      <c r="AD56" s="41"/>
    </row>
    <row r="57" spans="1:30" ht="12.75" customHeight="1" x14ac:dyDescent="0.2">
      <c r="B57" s="146" t="s">
        <v>67</v>
      </c>
      <c r="C57" s="144">
        <v>4000</v>
      </c>
      <c r="D57" s="71">
        <v>1000</v>
      </c>
      <c r="E57" s="172"/>
      <c r="F57" s="172">
        <v>2500</v>
      </c>
      <c r="G57" s="71">
        <v>3930</v>
      </c>
      <c r="H57" s="127">
        <f>H15</f>
        <v>1704.07</v>
      </c>
      <c r="I57" s="71">
        <v>1500</v>
      </c>
      <c r="J57" s="71">
        <v>2450</v>
      </c>
      <c r="K57" s="71">
        <v>2200</v>
      </c>
      <c r="L57" s="91">
        <v>0</v>
      </c>
      <c r="M57" s="66">
        <v>2200</v>
      </c>
      <c r="N57" s="91">
        <v>1320</v>
      </c>
      <c r="O57" s="66">
        <v>2500</v>
      </c>
      <c r="P57" s="91">
        <v>1944.43</v>
      </c>
      <c r="Q57" s="66">
        <v>2000</v>
      </c>
      <c r="R57" s="91">
        <v>2640</v>
      </c>
      <c r="S57" s="66">
        <v>5000</v>
      </c>
      <c r="T57" s="78">
        <v>3592.31</v>
      </c>
      <c r="U57" s="55">
        <v>1500</v>
      </c>
      <c r="V57" s="66">
        <v>2715</v>
      </c>
      <c r="W57" s="26">
        <v>2300</v>
      </c>
      <c r="X57" s="51">
        <v>1180</v>
      </c>
      <c r="Y57" s="24">
        <v>2065</v>
      </c>
      <c r="Z57" s="24">
        <v>2301.2199999999998</v>
      </c>
      <c r="AA57" s="24">
        <v>2343.0500000000002</v>
      </c>
      <c r="AB57" s="24">
        <v>650</v>
      </c>
      <c r="AC57" s="24">
        <v>1120</v>
      </c>
      <c r="AD57" s="41"/>
    </row>
    <row r="58" spans="1:30" ht="12.75" customHeight="1" x14ac:dyDescent="0.2">
      <c r="B58" s="150" t="s">
        <v>69</v>
      </c>
      <c r="C58" s="144">
        <f>C68-C57</f>
        <v>3725</v>
      </c>
      <c r="D58" s="71"/>
      <c r="E58" s="172"/>
      <c r="F58" s="172"/>
      <c r="G58" s="71"/>
      <c r="H58" s="127"/>
      <c r="I58" s="71"/>
      <c r="J58" s="71"/>
      <c r="K58" s="71"/>
      <c r="L58" s="91"/>
      <c r="M58" s="66"/>
      <c r="N58" s="91"/>
      <c r="O58" s="66"/>
      <c r="P58" s="91"/>
      <c r="Q58" s="66"/>
      <c r="R58" s="91"/>
      <c r="S58" s="66"/>
      <c r="T58" s="78"/>
      <c r="U58" s="55"/>
      <c r="V58" s="66"/>
      <c r="W58" s="26"/>
      <c r="X58" s="51"/>
      <c r="Y58" s="24"/>
      <c r="Z58" s="24"/>
      <c r="AA58" s="24"/>
      <c r="AB58" s="24"/>
      <c r="AC58" s="24"/>
      <c r="AD58" s="41"/>
    </row>
    <row r="59" spans="1:30" ht="12.75" customHeight="1" x14ac:dyDescent="0.2">
      <c r="A59" s="135">
        <v>50201</v>
      </c>
      <c r="B59" s="135" t="s">
        <v>5</v>
      </c>
      <c r="C59" s="142">
        <v>25</v>
      </c>
      <c r="D59" s="118">
        <v>25</v>
      </c>
      <c r="E59" s="173">
        <f>126.31</f>
        <v>126.31</v>
      </c>
      <c r="F59" s="173">
        <v>25</v>
      </c>
      <c r="G59" s="118">
        <v>8.5500000000000007</v>
      </c>
      <c r="H59" s="94">
        <v>19.079999999999998</v>
      </c>
      <c r="I59" s="118">
        <v>25</v>
      </c>
      <c r="J59" s="118"/>
      <c r="K59" s="118">
        <v>25</v>
      </c>
      <c r="L59" s="91"/>
      <c r="M59" s="67">
        <v>25</v>
      </c>
      <c r="N59" s="72"/>
      <c r="O59" s="67">
        <v>25</v>
      </c>
      <c r="P59" s="91">
        <v>32.58</v>
      </c>
      <c r="Q59" s="67">
        <v>25</v>
      </c>
      <c r="R59" s="91">
        <v>11.62</v>
      </c>
      <c r="S59" s="67">
        <v>25</v>
      </c>
      <c r="T59" s="77">
        <v>16.97</v>
      </c>
      <c r="U59" s="54">
        <v>25</v>
      </c>
      <c r="V59" s="67">
        <v>11.5</v>
      </c>
      <c r="W59" s="24">
        <v>20</v>
      </c>
      <c r="X59" s="51">
        <v>12.92</v>
      </c>
      <c r="Y59" s="24">
        <v>11.26</v>
      </c>
      <c r="Z59" s="24">
        <v>0.44</v>
      </c>
      <c r="AA59" s="24">
        <v>15.4</v>
      </c>
      <c r="AB59" s="24">
        <v>25.52</v>
      </c>
      <c r="AC59" s="24">
        <v>39.46</v>
      </c>
      <c r="AD59" s="41"/>
    </row>
    <row r="60" spans="1:30" ht="12.75" customHeight="1" x14ac:dyDescent="0.2">
      <c r="A60" s="135">
        <v>50202</v>
      </c>
      <c r="B60" s="135" t="s">
        <v>6</v>
      </c>
      <c r="C60" s="142">
        <v>25</v>
      </c>
      <c r="D60" s="118">
        <v>25</v>
      </c>
      <c r="E60" s="173"/>
      <c r="F60" s="173">
        <v>25</v>
      </c>
      <c r="G60" s="118"/>
      <c r="H60" s="94"/>
      <c r="I60" s="118">
        <v>25</v>
      </c>
      <c r="J60" s="118"/>
      <c r="K60" s="118">
        <v>25</v>
      </c>
      <c r="L60" s="91"/>
      <c r="M60" s="67">
        <v>25</v>
      </c>
      <c r="N60" s="72"/>
      <c r="O60" s="67">
        <v>25</v>
      </c>
      <c r="P60" s="91"/>
      <c r="Q60" s="67">
        <v>25</v>
      </c>
      <c r="R60" s="91">
        <v>0</v>
      </c>
      <c r="S60" s="67">
        <v>25</v>
      </c>
      <c r="T60" s="77"/>
      <c r="U60" s="54">
        <v>25</v>
      </c>
      <c r="V60" s="67"/>
      <c r="W60" s="24">
        <v>40</v>
      </c>
      <c r="X60" s="51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41"/>
    </row>
    <row r="61" spans="1:30" ht="12.75" customHeight="1" x14ac:dyDescent="0.2">
      <c r="A61" s="135">
        <v>50203</v>
      </c>
      <c r="B61" s="135" t="s">
        <v>7</v>
      </c>
      <c r="C61" s="142">
        <v>150</v>
      </c>
      <c r="D61" s="118">
        <v>150</v>
      </c>
      <c r="E61" s="173">
        <f>336.09</f>
        <v>336.09</v>
      </c>
      <c r="F61" s="173">
        <v>150</v>
      </c>
      <c r="G61" s="118">
        <v>1.3</v>
      </c>
      <c r="H61" s="94">
        <v>96.89</v>
      </c>
      <c r="I61" s="118">
        <v>25</v>
      </c>
      <c r="J61" s="118"/>
      <c r="K61" s="118">
        <v>150</v>
      </c>
      <c r="L61" s="91"/>
      <c r="M61" s="67">
        <v>150</v>
      </c>
      <c r="N61" s="72"/>
      <c r="O61" s="67">
        <v>25</v>
      </c>
      <c r="P61" s="91">
        <v>94</v>
      </c>
      <c r="Q61" s="67">
        <v>25</v>
      </c>
      <c r="R61" s="91">
        <v>0</v>
      </c>
      <c r="S61" s="67">
        <v>25</v>
      </c>
      <c r="T61" s="77">
        <v>41.99</v>
      </c>
      <c r="U61" s="54">
        <v>25</v>
      </c>
      <c r="V61" s="67">
        <v>5.03</v>
      </c>
      <c r="W61" s="24">
        <v>25</v>
      </c>
      <c r="X61" s="51">
        <v>24.21</v>
      </c>
      <c r="Y61" s="24">
        <v>0.06</v>
      </c>
      <c r="Z61" s="24">
        <v>0</v>
      </c>
      <c r="AA61" s="24">
        <v>7.59</v>
      </c>
      <c r="AB61" s="24">
        <v>3.24</v>
      </c>
      <c r="AC61" s="24">
        <v>3.57</v>
      </c>
      <c r="AD61" s="41"/>
    </row>
    <row r="62" spans="1:30" ht="12.75" customHeight="1" x14ac:dyDescent="0.2">
      <c r="A62" s="135">
        <v>50204</v>
      </c>
      <c r="B62" s="135" t="s">
        <v>8</v>
      </c>
      <c r="C62" s="142">
        <v>25</v>
      </c>
      <c r="D62" s="118">
        <v>25</v>
      </c>
      <c r="E62" s="173">
        <f>1.85</f>
        <v>1.85</v>
      </c>
      <c r="F62" s="173">
        <v>25</v>
      </c>
      <c r="G62" s="118">
        <v>0.33</v>
      </c>
      <c r="H62" s="94">
        <v>29.19</v>
      </c>
      <c r="I62" s="118">
        <v>25</v>
      </c>
      <c r="J62" s="118"/>
      <c r="K62" s="118">
        <v>25</v>
      </c>
      <c r="L62" s="91"/>
      <c r="M62" s="67">
        <v>25</v>
      </c>
      <c r="N62" s="72"/>
      <c r="O62" s="67">
        <v>25</v>
      </c>
      <c r="P62" s="91">
        <v>25.47</v>
      </c>
      <c r="Q62" s="67">
        <v>25</v>
      </c>
      <c r="R62" s="91">
        <v>0</v>
      </c>
      <c r="S62" s="67">
        <v>25</v>
      </c>
      <c r="T62" s="77">
        <v>11.44</v>
      </c>
      <c r="U62" s="54">
        <v>25</v>
      </c>
      <c r="V62" s="67"/>
      <c r="W62" s="24">
        <v>50</v>
      </c>
      <c r="X62" s="51">
        <v>7.05</v>
      </c>
      <c r="Y62" s="24">
        <v>2.21</v>
      </c>
      <c r="Z62" s="24">
        <v>2.67</v>
      </c>
      <c r="AA62" s="24">
        <v>2.21</v>
      </c>
      <c r="AB62" s="24">
        <v>2.21</v>
      </c>
      <c r="AC62" s="24">
        <v>213.46</v>
      </c>
      <c r="AD62" s="41"/>
    </row>
    <row r="63" spans="1:30" ht="12.75" customHeight="1" x14ac:dyDescent="0.2">
      <c r="A63" s="135">
        <v>50301</v>
      </c>
      <c r="B63" s="135" t="s">
        <v>9</v>
      </c>
      <c r="C63" s="142">
        <v>700</v>
      </c>
      <c r="D63" s="118">
        <v>0</v>
      </c>
      <c r="E63" s="173"/>
      <c r="F63" s="173">
        <v>700</v>
      </c>
      <c r="G63" s="118"/>
      <c r="H63" s="94"/>
      <c r="I63" s="118">
        <v>0</v>
      </c>
      <c r="J63" s="118">
        <v>500</v>
      </c>
      <c r="K63" s="118">
        <v>700</v>
      </c>
      <c r="L63" s="91"/>
      <c r="M63" s="67">
        <v>700</v>
      </c>
      <c r="N63" s="72"/>
      <c r="O63" s="67">
        <v>700</v>
      </c>
      <c r="P63" s="91">
        <v>0</v>
      </c>
      <c r="Q63" s="67">
        <v>700</v>
      </c>
      <c r="R63" s="91">
        <v>1250</v>
      </c>
      <c r="S63" s="67">
        <v>700</v>
      </c>
      <c r="T63" s="77"/>
      <c r="U63" s="54">
        <v>700</v>
      </c>
      <c r="V63" s="67">
        <v>59.8</v>
      </c>
      <c r="W63" s="24">
        <v>400</v>
      </c>
      <c r="X63" s="51">
        <v>1667.84</v>
      </c>
      <c r="Y63" s="24">
        <v>1146.45</v>
      </c>
      <c r="Z63" s="24">
        <v>50</v>
      </c>
      <c r="AA63" s="24">
        <v>0</v>
      </c>
      <c r="AB63" s="24">
        <v>750</v>
      </c>
      <c r="AC63" s="24">
        <v>0</v>
      </c>
      <c r="AD63" s="41"/>
    </row>
    <row r="64" spans="1:30" ht="12.75" customHeight="1" x14ac:dyDescent="0.2">
      <c r="A64" s="135">
        <v>50302</v>
      </c>
      <c r="B64" s="135" t="s">
        <v>10</v>
      </c>
      <c r="C64" s="142">
        <v>6500</v>
      </c>
      <c r="D64" s="118">
        <v>0</v>
      </c>
      <c r="E64" s="173"/>
      <c r="F64" s="173">
        <v>4000</v>
      </c>
      <c r="G64" s="118">
        <v>9610.65</v>
      </c>
      <c r="H64" s="94">
        <v>800</v>
      </c>
      <c r="I64" s="118">
        <v>2000</v>
      </c>
      <c r="J64" s="118">
        <v>6460.08</v>
      </c>
      <c r="K64" s="118">
        <v>4000</v>
      </c>
      <c r="L64" s="91"/>
      <c r="M64" s="67">
        <v>4000</v>
      </c>
      <c r="N64" s="72"/>
      <c r="O64" s="67">
        <v>4000</v>
      </c>
      <c r="P64" s="91">
        <v>0</v>
      </c>
      <c r="Q64" s="67">
        <v>1800</v>
      </c>
      <c r="R64" s="91">
        <v>3695.93</v>
      </c>
      <c r="S64" s="67">
        <v>4000</v>
      </c>
      <c r="T64" s="77">
        <v>1729.55</v>
      </c>
      <c r="U64" s="54">
        <v>1800</v>
      </c>
      <c r="V64" s="67">
        <v>4467.29</v>
      </c>
      <c r="W64" s="24">
        <v>1500</v>
      </c>
      <c r="X64" s="51">
        <v>2176.1999999999998</v>
      </c>
      <c r="Y64" s="24">
        <v>854.76</v>
      </c>
      <c r="Z64" s="24">
        <v>0</v>
      </c>
      <c r="AA64" s="24">
        <v>0</v>
      </c>
      <c r="AB64" s="24">
        <v>2148.6999999999998</v>
      </c>
      <c r="AC64" s="24">
        <v>0</v>
      </c>
      <c r="AD64" s="41"/>
    </row>
    <row r="65" spans="1:30" ht="12.75" customHeight="1" x14ac:dyDescent="0.2">
      <c r="A65" s="135">
        <v>50303</v>
      </c>
      <c r="B65" s="135" t="s">
        <v>11</v>
      </c>
      <c r="C65" s="142">
        <v>150</v>
      </c>
      <c r="D65" s="118">
        <v>150</v>
      </c>
      <c r="E65" s="173"/>
      <c r="F65" s="173">
        <v>150</v>
      </c>
      <c r="G65" s="118"/>
      <c r="H65" s="94"/>
      <c r="I65" s="118">
        <v>150</v>
      </c>
      <c r="J65" s="118"/>
      <c r="K65" s="118">
        <v>150</v>
      </c>
      <c r="L65" s="91"/>
      <c r="M65" s="67">
        <v>150</v>
      </c>
      <c r="N65" s="72"/>
      <c r="O65" s="67">
        <v>150</v>
      </c>
      <c r="P65" s="91">
        <v>0</v>
      </c>
      <c r="Q65" s="67">
        <v>150</v>
      </c>
      <c r="R65" s="91">
        <v>0</v>
      </c>
      <c r="S65" s="67">
        <v>150</v>
      </c>
      <c r="T65" s="77"/>
      <c r="U65" s="54">
        <v>150</v>
      </c>
      <c r="V65" s="67">
        <v>319.37</v>
      </c>
      <c r="W65" s="24">
        <v>150</v>
      </c>
      <c r="X65" s="51">
        <v>85.35</v>
      </c>
      <c r="Y65" s="24">
        <v>0</v>
      </c>
      <c r="Z65" s="24">
        <v>21.82</v>
      </c>
      <c r="AA65" s="24">
        <v>2320</v>
      </c>
      <c r="AB65" s="24">
        <v>1971.65</v>
      </c>
      <c r="AC65" s="24">
        <v>0</v>
      </c>
      <c r="AD65" s="41"/>
    </row>
    <row r="66" spans="1:30" ht="12.75" customHeight="1" x14ac:dyDescent="0.2">
      <c r="A66" s="135">
        <v>50291</v>
      </c>
      <c r="B66" s="135" t="s">
        <v>12</v>
      </c>
      <c r="C66" s="142">
        <v>50</v>
      </c>
      <c r="D66" s="118">
        <v>50</v>
      </c>
      <c r="E66" s="173"/>
      <c r="F66" s="173">
        <v>50</v>
      </c>
      <c r="G66" s="118"/>
      <c r="H66" s="94"/>
      <c r="I66" s="118">
        <v>0</v>
      </c>
      <c r="J66" s="118">
        <v>143.84</v>
      </c>
      <c r="K66" s="118">
        <v>50</v>
      </c>
      <c r="L66" s="91"/>
      <c r="M66" s="67">
        <v>50</v>
      </c>
      <c r="N66" s="72"/>
      <c r="O66" s="67">
        <v>0</v>
      </c>
      <c r="P66" s="91">
        <v>0</v>
      </c>
      <c r="Q66" s="67">
        <v>0</v>
      </c>
      <c r="R66" s="91">
        <v>0</v>
      </c>
      <c r="S66" s="67">
        <v>0</v>
      </c>
      <c r="T66" s="77"/>
      <c r="U66" s="54">
        <v>0</v>
      </c>
      <c r="V66" s="67">
        <v>0</v>
      </c>
      <c r="W66" s="24">
        <v>0</v>
      </c>
      <c r="X66" s="51">
        <v>0</v>
      </c>
      <c r="Y66" s="24">
        <v>6.72</v>
      </c>
      <c r="Z66" s="24">
        <v>0</v>
      </c>
      <c r="AA66" s="24">
        <v>0</v>
      </c>
      <c r="AB66" s="24">
        <v>0</v>
      </c>
      <c r="AC66" s="24">
        <v>0</v>
      </c>
      <c r="AD66" s="41"/>
    </row>
    <row r="67" spans="1:30" ht="12.75" customHeight="1" x14ac:dyDescent="0.2">
      <c r="A67" s="135">
        <v>50304</v>
      </c>
      <c r="B67" s="135" t="s">
        <v>13</v>
      </c>
      <c r="C67" s="142">
        <v>100</v>
      </c>
      <c r="D67" s="118">
        <v>0</v>
      </c>
      <c r="E67" s="173">
        <f>61.91</f>
        <v>61.91</v>
      </c>
      <c r="F67" s="173">
        <v>100</v>
      </c>
      <c r="G67" s="118"/>
      <c r="H67" s="94"/>
      <c r="I67" s="118">
        <v>100</v>
      </c>
      <c r="J67" s="118"/>
      <c r="K67" s="118">
        <v>100</v>
      </c>
      <c r="L67" s="91"/>
      <c r="M67" s="67">
        <v>100</v>
      </c>
      <c r="N67" s="72"/>
      <c r="O67" s="67">
        <v>100</v>
      </c>
      <c r="P67" s="91">
        <v>65.989999999999995</v>
      </c>
      <c r="Q67" s="67">
        <v>100</v>
      </c>
      <c r="R67" s="91"/>
      <c r="S67" s="67">
        <v>100</v>
      </c>
      <c r="T67" s="77">
        <v>77.900000000000006</v>
      </c>
      <c r="U67" s="54">
        <v>100</v>
      </c>
      <c r="V67" s="67"/>
      <c r="W67" s="24">
        <v>100</v>
      </c>
      <c r="X67" s="51">
        <v>87.58</v>
      </c>
      <c r="Y67" s="26">
        <v>0</v>
      </c>
      <c r="Z67" s="26">
        <v>122.66</v>
      </c>
      <c r="AA67" s="26">
        <v>0</v>
      </c>
      <c r="AB67" s="26">
        <v>0</v>
      </c>
      <c r="AC67" s="26">
        <v>0</v>
      </c>
      <c r="AD67" s="41"/>
    </row>
    <row r="68" spans="1:30" ht="12.75" customHeight="1" x14ac:dyDescent="0.2">
      <c r="B68" s="148" t="s">
        <v>16</v>
      </c>
      <c r="C68" s="149">
        <f t="shared" ref="C68:G68" si="18">SUM(C59:C67)</f>
        <v>7725</v>
      </c>
      <c r="D68" s="128">
        <f t="shared" si="18"/>
        <v>425</v>
      </c>
      <c r="E68" s="128">
        <f t="shared" si="18"/>
        <v>526.16</v>
      </c>
      <c r="F68" s="128">
        <f t="shared" si="18"/>
        <v>5225</v>
      </c>
      <c r="G68" s="128">
        <f t="shared" si="18"/>
        <v>9620.83</v>
      </c>
      <c r="H68" s="120">
        <f>SUM(H59:H67)</f>
        <v>945.16</v>
      </c>
      <c r="I68" s="120">
        <f>SUM(I59:I67)</f>
        <v>2350</v>
      </c>
      <c r="J68" s="120">
        <f>SUM(J63:J67)</f>
        <v>7103.92</v>
      </c>
      <c r="K68" s="120">
        <f t="shared" ref="K68" si="19">SUM(K59:K67)</f>
        <v>5225</v>
      </c>
      <c r="L68" s="68">
        <v>0</v>
      </c>
      <c r="M68" s="68">
        <f t="shared" ref="M68:N68" si="20">SUM(M59:M67)</f>
        <v>5225</v>
      </c>
      <c r="N68" s="68">
        <f t="shared" si="20"/>
        <v>0</v>
      </c>
      <c r="O68" s="68">
        <f t="shared" ref="O68:V68" si="21">SUM(O59:O67)</f>
        <v>5050</v>
      </c>
      <c r="P68" s="68">
        <f t="shared" si="21"/>
        <v>218.04000000000002</v>
      </c>
      <c r="Q68" s="68">
        <f t="shared" si="21"/>
        <v>2850</v>
      </c>
      <c r="R68" s="68">
        <f t="shared" si="21"/>
        <v>4957.5499999999993</v>
      </c>
      <c r="S68" s="68">
        <f t="shared" si="21"/>
        <v>5050</v>
      </c>
      <c r="T68" s="79">
        <f t="shared" si="21"/>
        <v>1877.8500000000001</v>
      </c>
      <c r="U68" s="56">
        <f t="shared" si="21"/>
        <v>2850</v>
      </c>
      <c r="V68" s="69">
        <f t="shared" si="21"/>
        <v>4862.99</v>
      </c>
      <c r="W68" s="24">
        <f t="shared" ref="W68:AC68" si="22">SUM(W59:W67)</f>
        <v>2285</v>
      </c>
      <c r="X68" s="51">
        <f t="shared" si="22"/>
        <v>4061.1499999999996</v>
      </c>
      <c r="Y68" s="24">
        <f t="shared" si="22"/>
        <v>2021.46</v>
      </c>
      <c r="Z68" s="26">
        <f t="shared" si="22"/>
        <v>197.59</v>
      </c>
      <c r="AA68" s="26">
        <f t="shared" si="22"/>
        <v>2345.1999999999998</v>
      </c>
      <c r="AB68" s="26">
        <f t="shared" si="22"/>
        <v>4901.32</v>
      </c>
      <c r="AC68" s="26">
        <f t="shared" si="22"/>
        <v>256.49</v>
      </c>
      <c r="AD68" s="41"/>
    </row>
    <row r="69" spans="1:30" ht="12.75" customHeight="1" x14ac:dyDescent="0.2">
      <c r="B69" s="148"/>
      <c r="C69" s="154"/>
      <c r="D69" s="120"/>
      <c r="E69" s="128"/>
      <c r="F69" s="174"/>
      <c r="G69" s="125"/>
      <c r="H69" s="125"/>
      <c r="I69" s="170"/>
      <c r="J69" s="170"/>
      <c r="K69" s="120"/>
      <c r="L69" s="68"/>
      <c r="M69" s="68"/>
      <c r="N69" s="68"/>
      <c r="O69" s="68"/>
      <c r="P69" s="68"/>
      <c r="Q69" s="68"/>
      <c r="R69" s="68"/>
      <c r="S69" s="46"/>
      <c r="T69" s="46"/>
      <c r="U69" s="46"/>
      <c r="V69" s="46"/>
      <c r="W69" s="34"/>
      <c r="X69" s="51"/>
      <c r="Y69" s="24"/>
      <c r="Z69" s="26"/>
      <c r="AA69" s="26"/>
      <c r="AB69" s="26"/>
      <c r="AC69" s="26"/>
      <c r="AD69" s="41"/>
    </row>
    <row r="70" spans="1:30" ht="12.75" customHeight="1" x14ac:dyDescent="0.2">
      <c r="B70" s="148" t="s">
        <v>32</v>
      </c>
      <c r="C70" s="149">
        <f>C57+C58-C68</f>
        <v>0</v>
      </c>
      <c r="D70" s="128">
        <f t="shared" ref="D70:N70" si="23">D57-D68</f>
        <v>575</v>
      </c>
      <c r="E70" s="128">
        <f t="shared" si="23"/>
        <v>-526.16</v>
      </c>
      <c r="F70" s="128">
        <f t="shared" si="23"/>
        <v>-2725</v>
      </c>
      <c r="G70" s="128">
        <f t="shared" si="23"/>
        <v>-5690.83</v>
      </c>
      <c r="H70" s="128">
        <f t="shared" si="23"/>
        <v>758.91</v>
      </c>
      <c r="I70" s="128">
        <f t="shared" si="23"/>
        <v>-850</v>
      </c>
      <c r="J70" s="120">
        <f t="shared" si="23"/>
        <v>-4653.92</v>
      </c>
      <c r="K70" s="120">
        <f t="shared" si="23"/>
        <v>-3025</v>
      </c>
      <c r="L70" s="68">
        <f t="shared" si="23"/>
        <v>0</v>
      </c>
      <c r="M70" s="68">
        <f t="shared" si="23"/>
        <v>-3025</v>
      </c>
      <c r="N70" s="68">
        <f t="shared" si="23"/>
        <v>1320</v>
      </c>
      <c r="O70" s="68">
        <f t="shared" ref="O70:T70" si="24">O57-O68</f>
        <v>-2550</v>
      </c>
      <c r="P70" s="68">
        <f t="shared" si="24"/>
        <v>1726.39</v>
      </c>
      <c r="Q70" s="68">
        <f t="shared" si="24"/>
        <v>-850</v>
      </c>
      <c r="R70" s="68">
        <f t="shared" si="24"/>
        <v>-2317.5499999999993</v>
      </c>
      <c r="S70" s="69">
        <f t="shared" si="24"/>
        <v>-50</v>
      </c>
      <c r="T70" s="69">
        <f t="shared" si="24"/>
        <v>1714.4599999999998</v>
      </c>
      <c r="U70" s="39">
        <f>SUM((U57+U56)-U68)</f>
        <v>-1350</v>
      </c>
      <c r="V70" s="46"/>
      <c r="W70" s="38">
        <f>SUM(W57-W68)</f>
        <v>15</v>
      </c>
      <c r="X70" s="47">
        <f>SUM(X57-X68)</f>
        <v>-2881.1499999999996</v>
      </c>
      <c r="Y70" s="26">
        <f>SUM(Y57-Y68)</f>
        <v>43.539999999999964</v>
      </c>
      <c r="Z70" s="26">
        <f>SUM(Z57-Z68)</f>
        <v>2103.6299999999997</v>
      </c>
      <c r="AA70" s="26">
        <f t="shared" ref="AA70:AC70" si="25">SUM(AA57-AA68)</f>
        <v>-2.1499999999996362</v>
      </c>
      <c r="AB70" s="26">
        <f t="shared" si="25"/>
        <v>-4251.32</v>
      </c>
      <c r="AC70" s="26">
        <f t="shared" si="25"/>
        <v>863.51</v>
      </c>
      <c r="AD70" s="41"/>
    </row>
    <row r="71" spans="1:30" ht="12.75" customHeight="1" x14ac:dyDescent="0.2">
      <c r="B71" s="148"/>
      <c r="C71" s="148"/>
      <c r="D71" s="170"/>
      <c r="E71" s="170"/>
      <c r="F71" s="124"/>
      <c r="G71" s="124"/>
      <c r="H71" s="124"/>
      <c r="I71" s="170"/>
      <c r="J71" s="170"/>
      <c r="K71" s="170"/>
      <c r="L71" s="84"/>
      <c r="M71" s="84"/>
      <c r="N71" s="89"/>
      <c r="O71" s="84"/>
      <c r="P71" s="89"/>
      <c r="Q71" s="84"/>
      <c r="R71" s="89"/>
      <c r="S71" s="3"/>
      <c r="T71" s="3"/>
      <c r="U71" s="3"/>
      <c r="V71" s="3"/>
      <c r="W71" s="35"/>
      <c r="Z71" s="5"/>
      <c r="AA71" s="21"/>
      <c r="AC71" s="5"/>
      <c r="AD71" s="41"/>
    </row>
    <row r="72" spans="1:30" ht="12.75" customHeight="1" x14ac:dyDescent="0.2">
      <c r="A72" s="139" t="s">
        <v>23</v>
      </c>
      <c r="B72" s="148"/>
      <c r="C72" s="148"/>
      <c r="D72" s="170"/>
      <c r="E72" s="170"/>
      <c r="F72" s="124"/>
      <c r="G72" s="124"/>
      <c r="H72" s="124"/>
      <c r="I72" s="170"/>
      <c r="J72" s="170"/>
      <c r="K72" s="170"/>
      <c r="L72" s="84"/>
      <c r="M72" s="84"/>
      <c r="N72" s="89"/>
      <c r="O72" s="84"/>
      <c r="P72" s="89"/>
      <c r="Q72" s="84"/>
      <c r="R72" s="89"/>
      <c r="S72" s="3"/>
      <c r="T72" s="3"/>
      <c r="U72" s="3"/>
      <c r="V72" s="3"/>
      <c r="W72" s="35"/>
      <c r="AA72" s="21"/>
      <c r="AD72" s="41"/>
    </row>
    <row r="73" spans="1:30" ht="12.75" customHeight="1" x14ac:dyDescent="0.2">
      <c r="B73" s="141" t="s">
        <v>14</v>
      </c>
      <c r="C73" s="141"/>
      <c r="D73" s="169"/>
      <c r="E73" s="169"/>
      <c r="F73" s="123"/>
      <c r="G73" s="123"/>
      <c r="H73" s="123"/>
      <c r="I73" s="169"/>
      <c r="J73" s="169"/>
      <c r="K73" s="169"/>
      <c r="L73" s="83"/>
      <c r="M73" s="83"/>
      <c r="N73" s="88"/>
      <c r="O73" s="83"/>
      <c r="P73" s="88"/>
      <c r="Q73" s="83"/>
      <c r="R73" s="88"/>
      <c r="S73" s="1"/>
      <c r="T73" s="1"/>
      <c r="U73" s="1"/>
      <c r="V73" s="1"/>
      <c r="W73" s="36"/>
      <c r="AA73" s="21"/>
      <c r="AD73" s="41"/>
    </row>
    <row r="74" spans="1:30" ht="12.75" customHeight="1" x14ac:dyDescent="0.2">
      <c r="B74" s="146" t="s">
        <v>70</v>
      </c>
      <c r="C74" s="147">
        <f>C9+C8</f>
        <v>32274.999999999996</v>
      </c>
      <c r="D74" s="71">
        <v>27500</v>
      </c>
      <c r="E74" s="71">
        <f>2198.47+51.85+51000</f>
        <v>53250.32</v>
      </c>
      <c r="F74" s="175">
        <f>F8+F9+F16</f>
        <v>25375</v>
      </c>
      <c r="G74" s="175">
        <v>28314.05</v>
      </c>
      <c r="H74" s="94">
        <v>27874.080000000002</v>
      </c>
      <c r="I74" s="71">
        <v>26375</v>
      </c>
      <c r="J74" s="71">
        <v>23869.69</v>
      </c>
      <c r="K74" s="71">
        <v>24325</v>
      </c>
      <c r="L74" s="91">
        <v>24087.83</v>
      </c>
      <c r="M74" s="78">
        <v>24325</v>
      </c>
      <c r="N74" s="91">
        <v>26590.92</v>
      </c>
      <c r="O74" s="66">
        <v>22775</v>
      </c>
      <c r="P74" s="91">
        <v>24234</v>
      </c>
      <c r="Q74" s="97">
        <v>22775</v>
      </c>
      <c r="R74" s="91">
        <v>22072.73</v>
      </c>
      <c r="S74" s="66">
        <v>22000</v>
      </c>
      <c r="T74" s="78">
        <f>T8+T9</f>
        <v>22859.96</v>
      </c>
      <c r="U74" s="55">
        <v>21020</v>
      </c>
      <c r="V74" s="45">
        <v>22352.76</v>
      </c>
      <c r="W74" s="26">
        <v>21045</v>
      </c>
      <c r="X74" s="51">
        <v>22063.87</v>
      </c>
      <c r="Y74" s="24">
        <f>SUM(21724.47+43.89)</f>
        <v>21768.36</v>
      </c>
      <c r="Z74" s="24">
        <f>SUM(20235.61+110.78+530.16)</f>
        <v>20876.55</v>
      </c>
      <c r="AA74" s="24">
        <v>20129.21</v>
      </c>
      <c r="AB74" s="24">
        <v>20920.89</v>
      </c>
      <c r="AC74" s="24">
        <v>21166.74</v>
      </c>
      <c r="AD74" s="41"/>
    </row>
    <row r="75" spans="1:30" ht="12.75" customHeight="1" x14ac:dyDescent="0.2">
      <c r="B75" s="150" t="s">
        <v>44</v>
      </c>
      <c r="C75" s="147">
        <f>55000-C58-C39-C22</f>
        <v>13226.25</v>
      </c>
      <c r="D75" s="71"/>
      <c r="E75" s="71"/>
      <c r="F75" s="175"/>
      <c r="G75" s="175"/>
      <c r="H75" s="94"/>
      <c r="I75" s="71"/>
      <c r="J75" s="71"/>
      <c r="K75" s="71"/>
      <c r="L75" s="91"/>
      <c r="M75" s="78"/>
      <c r="N75" s="91"/>
      <c r="O75" s="66"/>
      <c r="P75" s="91"/>
      <c r="Q75" s="97"/>
      <c r="R75" s="91"/>
      <c r="S75" s="66"/>
      <c r="T75" s="78"/>
      <c r="U75" s="55"/>
      <c r="V75" s="45"/>
      <c r="W75" s="26"/>
      <c r="X75" s="51"/>
      <c r="Y75" s="24"/>
      <c r="Z75" s="24"/>
      <c r="AA75" s="24"/>
      <c r="AB75" s="24"/>
      <c r="AC75" s="24"/>
      <c r="AD75" s="41"/>
    </row>
    <row r="76" spans="1:30" ht="12.75" customHeight="1" x14ac:dyDescent="0.2">
      <c r="A76" s="135">
        <v>50291</v>
      </c>
      <c r="B76" s="143" t="s">
        <v>12</v>
      </c>
      <c r="C76" s="144">
        <v>1000</v>
      </c>
      <c r="D76" s="71">
        <v>1000</v>
      </c>
      <c r="E76" s="94">
        <v>2154.9</v>
      </c>
      <c r="F76" s="71">
        <v>1500</v>
      </c>
      <c r="G76" s="71">
        <v>846.14</v>
      </c>
      <c r="H76" s="94">
        <v>788.43</v>
      </c>
      <c r="I76" s="71">
        <v>1500</v>
      </c>
      <c r="J76" s="71">
        <v>946.49</v>
      </c>
      <c r="K76" s="71">
        <v>1500</v>
      </c>
      <c r="L76" s="91">
        <v>1595.17</v>
      </c>
      <c r="M76" s="66">
        <v>1500</v>
      </c>
      <c r="N76" s="96">
        <v>1296.76</v>
      </c>
      <c r="O76" s="66">
        <v>1500</v>
      </c>
      <c r="P76" s="91">
        <v>796.93</v>
      </c>
      <c r="Q76" s="97">
        <v>2000</v>
      </c>
      <c r="R76" s="91">
        <v>574.67999999999995</v>
      </c>
      <c r="S76" s="66">
        <v>2000</v>
      </c>
      <c r="T76" s="78">
        <v>779.16</v>
      </c>
      <c r="U76" s="55">
        <v>1200</v>
      </c>
      <c r="V76" s="66">
        <v>2006.05</v>
      </c>
      <c r="W76" s="26">
        <v>300</v>
      </c>
      <c r="X76" s="51">
        <v>1855.65</v>
      </c>
      <c r="Y76" s="24">
        <v>701.54</v>
      </c>
      <c r="Z76" s="24">
        <v>1121.04</v>
      </c>
      <c r="AA76" s="24">
        <v>3833.39</v>
      </c>
      <c r="AB76" s="24">
        <v>1290.3699999999999</v>
      </c>
      <c r="AC76" s="24">
        <v>859.17</v>
      </c>
      <c r="AD76" s="41"/>
    </row>
    <row r="77" spans="1:30" ht="12.75" customHeight="1" x14ac:dyDescent="0.2">
      <c r="A77" s="135">
        <v>50201</v>
      </c>
      <c r="B77" s="143" t="s">
        <v>5</v>
      </c>
      <c r="C77" s="144">
        <v>500</v>
      </c>
      <c r="D77" s="71">
        <v>500</v>
      </c>
      <c r="E77" s="71">
        <v>93</v>
      </c>
      <c r="F77" s="71">
        <v>500</v>
      </c>
      <c r="G77" s="71">
        <v>327.35000000000002</v>
      </c>
      <c r="H77" s="94">
        <v>1469.65</v>
      </c>
      <c r="I77" s="71">
        <v>500</v>
      </c>
      <c r="J77" s="71">
        <v>657.41</v>
      </c>
      <c r="K77" s="71">
        <v>500</v>
      </c>
      <c r="L77" s="91">
        <v>244</v>
      </c>
      <c r="M77" s="66">
        <v>600</v>
      </c>
      <c r="N77" s="91">
        <v>592.34</v>
      </c>
      <c r="O77" s="66">
        <v>500</v>
      </c>
      <c r="P77" s="91">
        <v>440.4</v>
      </c>
      <c r="Q77" s="97">
        <v>500</v>
      </c>
      <c r="R77" s="91">
        <v>469.63</v>
      </c>
      <c r="S77" s="66">
        <v>500</v>
      </c>
      <c r="T77" s="78">
        <v>452.06</v>
      </c>
      <c r="U77" s="55">
        <v>500</v>
      </c>
      <c r="V77" s="66">
        <v>518.55999999999995</v>
      </c>
      <c r="W77" s="26">
        <v>350</v>
      </c>
      <c r="X77" s="51">
        <v>520.80999999999995</v>
      </c>
      <c r="Y77" s="24">
        <v>883.63</v>
      </c>
      <c r="Z77" s="24">
        <v>1000.45</v>
      </c>
      <c r="AA77" s="24">
        <v>0</v>
      </c>
      <c r="AB77" s="24">
        <v>0</v>
      </c>
      <c r="AC77" s="24">
        <v>0</v>
      </c>
      <c r="AD77" s="41"/>
    </row>
    <row r="78" spans="1:30" ht="12.75" customHeight="1" x14ac:dyDescent="0.2">
      <c r="A78" s="135">
        <v>50202</v>
      </c>
      <c r="B78" s="143" t="s">
        <v>6</v>
      </c>
      <c r="C78" s="144">
        <v>100</v>
      </c>
      <c r="D78" s="71">
        <v>100</v>
      </c>
      <c r="E78" s="71"/>
      <c r="F78" s="71">
        <v>100</v>
      </c>
      <c r="G78" s="71">
        <v>0</v>
      </c>
      <c r="H78" s="94">
        <v>362.2</v>
      </c>
      <c r="I78" s="71">
        <v>100</v>
      </c>
      <c r="J78" s="71">
        <v>0</v>
      </c>
      <c r="K78" s="71">
        <v>100</v>
      </c>
      <c r="L78" s="91">
        <v>58.03</v>
      </c>
      <c r="M78" s="66">
        <v>400</v>
      </c>
      <c r="N78" s="91"/>
      <c r="O78" s="66">
        <v>400</v>
      </c>
      <c r="P78" s="91">
        <v>0</v>
      </c>
      <c r="Q78" s="97">
        <v>400</v>
      </c>
      <c r="R78" s="91">
        <v>0</v>
      </c>
      <c r="S78" s="66">
        <v>400</v>
      </c>
      <c r="T78" s="78">
        <v>314.35000000000002</v>
      </c>
      <c r="U78" s="55">
        <v>300</v>
      </c>
      <c r="V78" s="66"/>
      <c r="W78" s="26">
        <v>375</v>
      </c>
      <c r="X78" s="51">
        <v>387.19</v>
      </c>
      <c r="Y78" s="24">
        <v>159.6</v>
      </c>
      <c r="Z78" s="24">
        <v>1451.1</v>
      </c>
      <c r="AA78" s="24"/>
      <c r="AB78" s="24"/>
      <c r="AC78" s="24"/>
      <c r="AD78" s="41"/>
    </row>
    <row r="79" spans="1:30" ht="12.75" customHeight="1" x14ac:dyDescent="0.2">
      <c r="A79" s="135">
        <v>50203</v>
      </c>
      <c r="B79" s="143" t="s">
        <v>7</v>
      </c>
      <c r="C79" s="147">
        <v>150</v>
      </c>
      <c r="D79" s="71">
        <v>150</v>
      </c>
      <c r="E79" s="71">
        <v>0.56000000000000005</v>
      </c>
      <c r="F79" s="71">
        <v>350</v>
      </c>
      <c r="G79" s="71">
        <v>59.73</v>
      </c>
      <c r="H79" s="94">
        <v>469.76</v>
      </c>
      <c r="I79" s="71">
        <v>350</v>
      </c>
      <c r="J79" s="71">
        <v>86.12</v>
      </c>
      <c r="K79" s="71">
        <v>350</v>
      </c>
      <c r="L79" s="91">
        <v>91.4</v>
      </c>
      <c r="M79" s="66">
        <v>500</v>
      </c>
      <c r="N79" s="91">
        <v>236.77</v>
      </c>
      <c r="O79" s="66">
        <v>500</v>
      </c>
      <c r="P79" s="91">
        <v>438.13</v>
      </c>
      <c r="Q79" s="97">
        <v>500</v>
      </c>
      <c r="R79" s="91">
        <v>470.73</v>
      </c>
      <c r="S79" s="66">
        <v>400</v>
      </c>
      <c r="T79" s="78">
        <v>458.65</v>
      </c>
      <c r="U79" s="55">
        <v>400</v>
      </c>
      <c r="V79" s="66">
        <v>401.86</v>
      </c>
      <c r="W79" s="26">
        <v>150</v>
      </c>
      <c r="X79" s="51">
        <v>310.04000000000002</v>
      </c>
      <c r="Y79" s="24">
        <v>970.2</v>
      </c>
      <c r="Z79" s="24">
        <v>1226.73</v>
      </c>
      <c r="AA79" s="24"/>
      <c r="AB79" s="24"/>
      <c r="AC79" s="24"/>
      <c r="AD79" s="41"/>
    </row>
    <row r="80" spans="1:30" ht="12.75" customHeight="1" x14ac:dyDescent="0.2">
      <c r="A80" s="135">
        <v>50204</v>
      </c>
      <c r="B80" s="143" t="s">
        <v>8</v>
      </c>
      <c r="C80" s="147">
        <v>150</v>
      </c>
      <c r="D80" s="71">
        <v>150</v>
      </c>
      <c r="E80" s="71">
        <v>6.04</v>
      </c>
      <c r="F80" s="71">
        <v>300</v>
      </c>
      <c r="G80" s="71">
        <v>35.21</v>
      </c>
      <c r="H80" s="94">
        <v>518.12</v>
      </c>
      <c r="I80" s="71">
        <v>300</v>
      </c>
      <c r="J80" s="71">
        <v>225.24</v>
      </c>
      <c r="K80" s="71">
        <v>300</v>
      </c>
      <c r="L80" s="91">
        <v>135.47</v>
      </c>
      <c r="M80" s="66">
        <v>500</v>
      </c>
      <c r="N80" s="91">
        <v>166.97</v>
      </c>
      <c r="O80" s="66">
        <v>500</v>
      </c>
      <c r="P80" s="91">
        <v>425.13</v>
      </c>
      <c r="Q80" s="97">
        <v>500</v>
      </c>
      <c r="R80" s="91">
        <v>418.52</v>
      </c>
      <c r="S80" s="66">
        <v>500</v>
      </c>
      <c r="T80" s="78">
        <v>412.3</v>
      </c>
      <c r="U80" s="55">
        <v>150</v>
      </c>
      <c r="V80" s="66">
        <v>494.45</v>
      </c>
      <c r="W80" s="26">
        <v>150</v>
      </c>
      <c r="X80" s="51">
        <v>383.58</v>
      </c>
      <c r="Y80" s="24">
        <v>614.45000000000005</v>
      </c>
      <c r="Z80" s="24">
        <v>513.77</v>
      </c>
      <c r="AA80" s="24"/>
      <c r="AB80" s="24"/>
      <c r="AC80" s="24"/>
      <c r="AD80" s="41"/>
    </row>
    <row r="81" spans="1:32" ht="12.75" customHeight="1" x14ac:dyDescent="0.2">
      <c r="A81" s="135">
        <v>50235</v>
      </c>
      <c r="B81" s="143" t="s">
        <v>35</v>
      </c>
      <c r="C81" s="147">
        <v>1000</v>
      </c>
      <c r="D81" s="71">
        <v>100</v>
      </c>
      <c r="E81" s="71">
        <v>1056.3900000000001</v>
      </c>
      <c r="F81" s="71"/>
      <c r="G81" s="71">
        <v>74</v>
      </c>
      <c r="H81" s="94"/>
      <c r="I81" s="71"/>
      <c r="J81" s="71"/>
      <c r="K81" s="71"/>
      <c r="L81" s="91"/>
      <c r="M81" s="66">
        <v>0</v>
      </c>
      <c r="N81" s="72"/>
      <c r="O81" s="66">
        <v>50</v>
      </c>
      <c r="P81" s="91">
        <v>0</v>
      </c>
      <c r="Q81" s="97">
        <v>0</v>
      </c>
      <c r="R81" s="91">
        <v>0</v>
      </c>
      <c r="S81" s="66">
        <v>35</v>
      </c>
      <c r="T81" s="78"/>
      <c r="U81" s="55">
        <v>35</v>
      </c>
      <c r="V81" s="66">
        <v>35</v>
      </c>
      <c r="W81" s="26">
        <v>35</v>
      </c>
      <c r="X81" s="51">
        <v>35</v>
      </c>
      <c r="Y81" s="24">
        <v>35</v>
      </c>
      <c r="Z81" s="24"/>
      <c r="AA81" s="24"/>
      <c r="AB81" s="24"/>
      <c r="AC81" s="24"/>
      <c r="AD81" s="41"/>
    </row>
    <row r="82" spans="1:32" ht="12.75" customHeight="1" x14ac:dyDescent="0.2">
      <c r="A82" s="135">
        <v>50303</v>
      </c>
      <c r="B82" s="146" t="s">
        <v>11</v>
      </c>
      <c r="C82" s="147">
        <v>100</v>
      </c>
      <c r="D82" s="94">
        <v>100</v>
      </c>
      <c r="E82" s="94"/>
      <c r="F82" s="94">
        <v>100</v>
      </c>
      <c r="G82" s="94"/>
      <c r="H82" s="94">
        <v>0</v>
      </c>
      <c r="I82" s="94">
        <v>100</v>
      </c>
      <c r="J82" s="94">
        <v>0</v>
      </c>
      <c r="K82" s="94">
        <v>100</v>
      </c>
      <c r="L82" s="91"/>
      <c r="M82" s="66">
        <v>100</v>
      </c>
      <c r="N82" s="72"/>
      <c r="O82" s="66">
        <v>100</v>
      </c>
      <c r="P82" s="91">
        <v>0</v>
      </c>
      <c r="Q82" s="97"/>
      <c r="R82" s="91">
        <v>66.34</v>
      </c>
      <c r="S82" s="66"/>
      <c r="T82" s="78"/>
      <c r="U82" s="55"/>
      <c r="V82" s="66"/>
      <c r="W82" s="26"/>
      <c r="X82" s="51"/>
      <c r="Y82" s="24"/>
      <c r="Z82" s="24"/>
      <c r="AA82" s="24"/>
      <c r="AB82" s="24"/>
      <c r="AC82" s="24"/>
      <c r="AD82" s="41"/>
    </row>
    <row r="83" spans="1:32" ht="12.75" customHeight="1" x14ac:dyDescent="0.2">
      <c r="A83" s="135">
        <v>50304</v>
      </c>
      <c r="B83" s="143" t="s">
        <v>34</v>
      </c>
      <c r="C83" s="147">
        <v>100</v>
      </c>
      <c r="D83" s="71">
        <v>100</v>
      </c>
      <c r="E83" s="71">
        <f>99.56</f>
        <v>99.56</v>
      </c>
      <c r="F83" s="71">
        <v>100</v>
      </c>
      <c r="G83" s="71">
        <v>99.56</v>
      </c>
      <c r="H83" s="94">
        <v>0</v>
      </c>
      <c r="I83" s="71">
        <v>100</v>
      </c>
      <c r="J83" s="71">
        <v>0</v>
      </c>
      <c r="K83" s="71">
        <v>100</v>
      </c>
      <c r="L83" s="91">
        <v>78.400000000000006</v>
      </c>
      <c r="M83" s="66">
        <v>100</v>
      </c>
      <c r="N83" s="72"/>
      <c r="O83" s="66">
        <v>100</v>
      </c>
      <c r="P83" s="91">
        <v>43.6</v>
      </c>
      <c r="Q83" s="97">
        <v>50</v>
      </c>
      <c r="R83" s="91">
        <v>112.35</v>
      </c>
      <c r="S83" s="66">
        <v>50</v>
      </c>
      <c r="T83" s="78"/>
      <c r="U83" s="55">
        <v>50</v>
      </c>
      <c r="V83" s="66">
        <v>103.51</v>
      </c>
      <c r="W83" s="26">
        <v>50</v>
      </c>
      <c r="X83" s="51">
        <v>11.2</v>
      </c>
      <c r="Y83" s="24">
        <f>SUM(128.45+16.02)</f>
        <v>144.47</v>
      </c>
      <c r="Z83" s="24">
        <v>88.8</v>
      </c>
      <c r="AA83" s="24"/>
      <c r="AB83" s="24"/>
      <c r="AC83" s="24"/>
      <c r="AD83" s="41"/>
    </row>
    <row r="84" spans="1:32" ht="12.75" customHeight="1" x14ac:dyDescent="0.2">
      <c r="A84" s="135">
        <v>50411</v>
      </c>
      <c r="B84" s="135" t="s">
        <v>17</v>
      </c>
      <c r="C84" s="142">
        <v>18800</v>
      </c>
      <c r="D84" s="118">
        <v>18000</v>
      </c>
      <c r="E84" s="118">
        <v>13009.96</v>
      </c>
      <c r="F84" s="118">
        <v>17000</v>
      </c>
      <c r="G84" s="118">
        <v>12145</v>
      </c>
      <c r="H84" s="94">
        <v>15278</v>
      </c>
      <c r="I84" s="118">
        <v>16000</v>
      </c>
      <c r="J84" s="118">
        <v>14715</v>
      </c>
      <c r="K84" s="118">
        <v>14715</v>
      </c>
      <c r="L84" s="91">
        <v>14665</v>
      </c>
      <c r="M84" s="77">
        <v>14665</v>
      </c>
      <c r="N84" s="91">
        <v>14255</v>
      </c>
      <c r="O84" s="67">
        <v>14300</v>
      </c>
      <c r="P84" s="91">
        <v>13857</v>
      </c>
      <c r="Q84" s="98">
        <v>13857</v>
      </c>
      <c r="R84" s="91">
        <v>13389.96</v>
      </c>
      <c r="S84" s="67">
        <v>13500</v>
      </c>
      <c r="T84" s="77">
        <v>13044.96</v>
      </c>
      <c r="U84" s="54">
        <v>13045</v>
      </c>
      <c r="V84" s="67">
        <v>12509.04</v>
      </c>
      <c r="W84" s="24">
        <v>12509</v>
      </c>
      <c r="X84" s="51">
        <v>11814</v>
      </c>
      <c r="Y84" s="24">
        <v>11610.96</v>
      </c>
      <c r="Z84" s="24">
        <v>11273.04</v>
      </c>
      <c r="AA84" s="24">
        <v>11106</v>
      </c>
      <c r="AB84" s="24">
        <v>10941.96</v>
      </c>
      <c r="AC84" s="24">
        <v>10727.04</v>
      </c>
      <c r="AD84" s="41"/>
    </row>
    <row r="85" spans="1:32" ht="12.75" customHeight="1" x14ac:dyDescent="0.2">
      <c r="A85" s="135">
        <v>50414</v>
      </c>
      <c r="B85" s="135" t="s">
        <v>18</v>
      </c>
      <c r="C85" s="142">
        <v>3000</v>
      </c>
      <c r="D85" s="118">
        <v>3000</v>
      </c>
      <c r="E85" s="118">
        <v>508</v>
      </c>
      <c r="F85" s="118">
        <v>4000</v>
      </c>
      <c r="G85" s="118">
        <v>2130.25</v>
      </c>
      <c r="H85" s="94">
        <v>3590</v>
      </c>
      <c r="I85" s="118">
        <v>2300</v>
      </c>
      <c r="J85" s="118">
        <v>2256</v>
      </c>
      <c r="K85" s="118">
        <v>2300</v>
      </c>
      <c r="L85" s="91">
        <v>2256</v>
      </c>
      <c r="M85" s="67">
        <v>2300</v>
      </c>
      <c r="N85" s="91">
        <v>2256</v>
      </c>
      <c r="O85" s="67">
        <v>2300</v>
      </c>
      <c r="P85" s="91">
        <v>2256</v>
      </c>
      <c r="Q85" s="98">
        <v>2300</v>
      </c>
      <c r="R85" s="91">
        <v>2273.2600000000002</v>
      </c>
      <c r="S85" s="67">
        <v>2300</v>
      </c>
      <c r="T85" s="77">
        <v>2256</v>
      </c>
      <c r="U85" s="54">
        <v>2300</v>
      </c>
      <c r="V85" s="67">
        <v>2265</v>
      </c>
      <c r="W85" s="24">
        <v>2400</v>
      </c>
      <c r="X85" s="51">
        <v>2265</v>
      </c>
      <c r="Y85" s="24">
        <v>2256</v>
      </c>
      <c r="Z85" s="24">
        <v>2256</v>
      </c>
      <c r="AA85" s="24">
        <v>2256</v>
      </c>
      <c r="AB85" s="24">
        <v>2261</v>
      </c>
      <c r="AC85" s="24">
        <v>2256</v>
      </c>
      <c r="AD85" s="41"/>
    </row>
    <row r="86" spans="1:32" ht="12.75" customHeight="1" x14ac:dyDescent="0.2">
      <c r="A86" s="135">
        <v>50415</v>
      </c>
      <c r="B86" s="146" t="s">
        <v>51</v>
      </c>
      <c r="C86" s="142">
        <v>3200</v>
      </c>
      <c r="D86" s="118">
        <v>2500</v>
      </c>
      <c r="E86" s="118"/>
      <c r="F86" s="118">
        <v>2500</v>
      </c>
      <c r="G86" s="118">
        <v>933.62</v>
      </c>
      <c r="H86" s="94">
        <v>1018.07</v>
      </c>
      <c r="I86" s="118">
        <v>2500</v>
      </c>
      <c r="J86" s="118">
        <v>2415.39</v>
      </c>
      <c r="K86" s="118">
        <v>3500</v>
      </c>
      <c r="L86" s="91">
        <v>921.94</v>
      </c>
      <c r="M86" s="67">
        <v>3500</v>
      </c>
      <c r="N86" s="91">
        <v>699.5</v>
      </c>
      <c r="O86" s="67">
        <v>2000</v>
      </c>
      <c r="P86" s="91">
        <v>357</v>
      </c>
      <c r="Q86" s="98">
        <v>350</v>
      </c>
      <c r="R86" s="91">
        <v>303</v>
      </c>
      <c r="S86" s="67">
        <v>350</v>
      </c>
      <c r="T86" s="77">
        <v>333.75</v>
      </c>
      <c r="U86" s="54">
        <v>1000</v>
      </c>
      <c r="V86" s="67">
        <v>333.75</v>
      </c>
      <c r="W86" s="24">
        <v>0</v>
      </c>
      <c r="X86" s="51">
        <v>386.25</v>
      </c>
      <c r="Y86" s="24">
        <v>333.75</v>
      </c>
      <c r="Z86" s="24">
        <v>4163</v>
      </c>
      <c r="AA86" s="24">
        <v>517.5</v>
      </c>
      <c r="AB86" s="24">
        <v>656.5</v>
      </c>
      <c r="AC86" s="24">
        <v>602</v>
      </c>
      <c r="AD86" s="41"/>
    </row>
    <row r="87" spans="1:32" ht="12.75" customHeight="1" x14ac:dyDescent="0.2">
      <c r="A87" s="135">
        <v>50499</v>
      </c>
      <c r="B87" s="146" t="s">
        <v>57</v>
      </c>
      <c r="C87" s="147">
        <v>6500</v>
      </c>
      <c r="D87" s="94">
        <v>6500</v>
      </c>
      <c r="E87" s="94">
        <f>1646.81+2325.57</f>
        <v>3972.38</v>
      </c>
      <c r="F87" s="71">
        <v>5000</v>
      </c>
      <c r="G87" s="71">
        <v>2973.82</v>
      </c>
      <c r="H87" s="94">
        <v>6104.29</v>
      </c>
      <c r="I87" s="71">
        <v>5000</v>
      </c>
      <c r="J87" s="71">
        <v>2371.66</v>
      </c>
      <c r="K87" s="71">
        <v>7500</v>
      </c>
      <c r="L87" s="91">
        <v>2140.4299999999998</v>
      </c>
      <c r="M87" s="66">
        <v>9000</v>
      </c>
      <c r="N87" s="91">
        <v>9287.82</v>
      </c>
      <c r="O87" s="66">
        <v>7500</v>
      </c>
      <c r="P87" s="91">
        <v>6150.33</v>
      </c>
      <c r="Q87" s="97">
        <v>7500</v>
      </c>
      <c r="R87" s="91">
        <v>5635.72</v>
      </c>
      <c r="S87" s="66">
        <v>7500</v>
      </c>
      <c r="T87" s="78">
        <v>6005.24</v>
      </c>
      <c r="U87" s="55">
        <v>6500</v>
      </c>
      <c r="V87" s="66">
        <v>8111.34</v>
      </c>
      <c r="W87" s="26">
        <v>5126</v>
      </c>
      <c r="X87" s="51">
        <v>8004.93</v>
      </c>
      <c r="Y87" s="24">
        <f>SUM(4109.2+2202.94)</f>
        <v>6312.1399999999994</v>
      </c>
      <c r="Z87" s="24">
        <f>SUM(4631.36+2389.63)</f>
        <v>7020.99</v>
      </c>
      <c r="AA87" s="24">
        <v>9274.64</v>
      </c>
      <c r="AB87" s="24">
        <v>4479.9399999999996</v>
      </c>
      <c r="AC87" s="24">
        <v>2988.73</v>
      </c>
      <c r="AD87" s="41"/>
    </row>
    <row r="88" spans="1:32" ht="12.75" customHeight="1" x14ac:dyDescent="0.2">
      <c r="A88" s="135">
        <v>50508</v>
      </c>
      <c r="B88" s="143" t="s">
        <v>49</v>
      </c>
      <c r="C88" s="144">
        <v>500</v>
      </c>
      <c r="D88" s="71">
        <v>500</v>
      </c>
      <c r="E88" s="71"/>
      <c r="F88" s="71">
        <v>700</v>
      </c>
      <c r="G88" s="71"/>
      <c r="H88" s="94">
        <v>0</v>
      </c>
      <c r="I88" s="71">
        <v>700</v>
      </c>
      <c r="J88" s="71">
        <v>562.48</v>
      </c>
      <c r="K88" s="71">
        <v>700</v>
      </c>
      <c r="L88" s="91">
        <v>58.75</v>
      </c>
      <c r="M88" s="66">
        <v>800</v>
      </c>
      <c r="N88" s="91">
        <v>892.89</v>
      </c>
      <c r="O88" s="66">
        <v>750</v>
      </c>
      <c r="P88" s="91">
        <v>496.44</v>
      </c>
      <c r="Q88" s="97">
        <v>750</v>
      </c>
      <c r="R88" s="91">
        <v>635.76</v>
      </c>
      <c r="S88" s="66">
        <v>750</v>
      </c>
      <c r="T88" s="78">
        <v>572.45000000000005</v>
      </c>
      <c r="U88" s="54">
        <v>1000</v>
      </c>
      <c r="V88" s="67">
        <v>1010.26</v>
      </c>
      <c r="W88" s="24">
        <v>1000</v>
      </c>
      <c r="X88" s="51">
        <v>1168.7</v>
      </c>
      <c r="Y88" s="24">
        <v>1950.82</v>
      </c>
      <c r="Z88" s="24">
        <v>700.35</v>
      </c>
      <c r="AA88" s="24">
        <v>1116.83</v>
      </c>
      <c r="AB88" s="24">
        <v>1125.73</v>
      </c>
      <c r="AC88" s="24">
        <v>2267.89</v>
      </c>
      <c r="AD88" s="42" t="s">
        <v>41</v>
      </c>
      <c r="AE88" s="40"/>
      <c r="AF88" s="40"/>
    </row>
    <row r="89" spans="1:32" ht="12.75" customHeight="1" x14ac:dyDescent="0.2">
      <c r="A89" s="135">
        <v>58500</v>
      </c>
      <c r="B89" s="143" t="s">
        <v>42</v>
      </c>
      <c r="C89" s="144">
        <v>1000</v>
      </c>
      <c r="D89" s="71">
        <v>1000</v>
      </c>
      <c r="E89" s="71"/>
      <c r="F89" s="71">
        <v>1000</v>
      </c>
      <c r="G89" s="71"/>
      <c r="H89" s="94">
        <v>240.5</v>
      </c>
      <c r="I89" s="71">
        <v>1000</v>
      </c>
      <c r="J89" s="71">
        <v>0</v>
      </c>
      <c r="K89" s="71">
        <v>1000</v>
      </c>
      <c r="L89" s="91"/>
      <c r="M89" s="66">
        <v>1500</v>
      </c>
      <c r="N89" s="91">
        <v>211.23</v>
      </c>
      <c r="O89" s="66">
        <v>1200</v>
      </c>
      <c r="P89" s="91">
        <v>818.66</v>
      </c>
      <c r="Q89" s="97">
        <v>750</v>
      </c>
      <c r="R89" s="91">
        <v>969.11</v>
      </c>
      <c r="S89" s="66">
        <v>750</v>
      </c>
      <c r="T89" s="78">
        <v>248.18</v>
      </c>
      <c r="U89" s="55">
        <v>1000</v>
      </c>
      <c r="V89" s="66">
        <v>126.87</v>
      </c>
      <c r="W89" s="24">
        <v>2000</v>
      </c>
      <c r="X89" s="51">
        <v>0</v>
      </c>
      <c r="Y89" s="24">
        <v>97.9</v>
      </c>
      <c r="Z89" s="24"/>
      <c r="AA89" s="24"/>
      <c r="AB89" s="24"/>
      <c r="AC89" s="24"/>
      <c r="AD89" s="42" t="s">
        <v>43</v>
      </c>
      <c r="AE89" s="40"/>
      <c r="AF89" s="40"/>
    </row>
    <row r="90" spans="1:32" ht="12.75" customHeight="1" x14ac:dyDescent="0.2">
      <c r="A90" s="135">
        <v>56090</v>
      </c>
      <c r="B90" s="143" t="s">
        <v>50</v>
      </c>
      <c r="C90" s="144">
        <v>3500</v>
      </c>
      <c r="D90" s="71">
        <v>5000</v>
      </c>
      <c r="E90" s="71">
        <v>5000</v>
      </c>
      <c r="F90" s="71">
        <v>5000</v>
      </c>
      <c r="G90" s="71">
        <v>5000</v>
      </c>
      <c r="H90" s="94">
        <v>5500</v>
      </c>
      <c r="I90" s="71">
        <v>5000</v>
      </c>
      <c r="J90" s="71">
        <v>5000</v>
      </c>
      <c r="K90" s="71">
        <v>5000</v>
      </c>
      <c r="L90" s="91">
        <v>3000</v>
      </c>
      <c r="M90" s="66">
        <v>5000</v>
      </c>
      <c r="N90" s="91">
        <v>4393.3999999999996</v>
      </c>
      <c r="O90" s="66">
        <v>5000</v>
      </c>
      <c r="P90" s="91">
        <v>3247.17</v>
      </c>
      <c r="Q90" s="97">
        <v>5000</v>
      </c>
      <c r="R90" s="91">
        <v>4900</v>
      </c>
      <c r="S90" s="67">
        <v>5000</v>
      </c>
      <c r="T90" s="78">
        <v>3000</v>
      </c>
      <c r="U90" s="54">
        <v>3000</v>
      </c>
      <c r="V90" s="67">
        <v>3166</v>
      </c>
      <c r="W90" s="24">
        <v>3000</v>
      </c>
      <c r="X90" s="51">
        <v>1500</v>
      </c>
      <c r="Y90" s="24">
        <v>3000</v>
      </c>
      <c r="Z90" s="26">
        <v>4500</v>
      </c>
      <c r="AA90" s="26">
        <v>3510.39</v>
      </c>
      <c r="AB90" s="26">
        <v>3208.64</v>
      </c>
      <c r="AC90" s="26">
        <v>2000</v>
      </c>
      <c r="AD90" s="42"/>
      <c r="AE90" s="40"/>
      <c r="AF90" s="40"/>
    </row>
    <row r="91" spans="1:32" ht="12.75" customHeight="1" x14ac:dyDescent="0.2">
      <c r="A91" s="135">
        <v>56091</v>
      </c>
      <c r="B91" s="143" t="s">
        <v>36</v>
      </c>
      <c r="C91" s="147">
        <v>5000</v>
      </c>
      <c r="D91" s="71">
        <v>6500</v>
      </c>
      <c r="E91" s="71">
        <v>577.16999999999996</v>
      </c>
      <c r="F91" s="71">
        <v>6500</v>
      </c>
      <c r="G91" s="71">
        <v>3765.63</v>
      </c>
      <c r="H91" s="94">
        <v>2779.28</v>
      </c>
      <c r="I91" s="71">
        <v>4500</v>
      </c>
      <c r="J91" s="71">
        <v>1617.2</v>
      </c>
      <c r="K91" s="71">
        <v>4500</v>
      </c>
      <c r="L91" s="91">
        <v>744.82</v>
      </c>
      <c r="M91" s="66">
        <v>4500</v>
      </c>
      <c r="N91" s="91">
        <v>1768.27</v>
      </c>
      <c r="O91" s="66">
        <v>4500</v>
      </c>
      <c r="P91" s="91">
        <v>1385.86</v>
      </c>
      <c r="Q91" s="97">
        <v>4000</v>
      </c>
      <c r="R91" s="91">
        <v>2273.2600000000002</v>
      </c>
      <c r="S91" s="66">
        <v>5000</v>
      </c>
      <c r="T91" s="78">
        <v>2571.4</v>
      </c>
      <c r="U91" s="55">
        <v>4000</v>
      </c>
      <c r="V91" s="66">
        <v>2053.64</v>
      </c>
      <c r="W91" s="26">
        <v>0</v>
      </c>
      <c r="X91" s="51">
        <v>2116.1999999999998</v>
      </c>
      <c r="Y91" s="24">
        <v>4589.0600000000004</v>
      </c>
      <c r="Z91" s="26"/>
      <c r="AA91" s="26"/>
      <c r="AB91" s="26"/>
      <c r="AC91" s="26"/>
      <c r="AD91" s="42"/>
      <c r="AE91" s="40"/>
      <c r="AF91" s="40"/>
    </row>
    <row r="92" spans="1:32" ht="12.75" customHeight="1" x14ac:dyDescent="0.2">
      <c r="A92" s="135">
        <v>56095</v>
      </c>
      <c r="B92" s="146" t="s">
        <v>54</v>
      </c>
      <c r="C92" s="147">
        <v>500</v>
      </c>
      <c r="D92" s="94">
        <v>1000</v>
      </c>
      <c r="E92" s="94"/>
      <c r="F92" s="94">
        <v>1000</v>
      </c>
      <c r="G92" s="94">
        <v>632</v>
      </c>
      <c r="H92" s="94">
        <v>491.32</v>
      </c>
      <c r="I92" s="94">
        <v>1000</v>
      </c>
      <c r="J92" s="94">
        <v>19.98</v>
      </c>
      <c r="K92" s="71">
        <v>1500</v>
      </c>
      <c r="L92" s="96"/>
      <c r="M92" s="78"/>
      <c r="N92" s="96"/>
      <c r="O92" s="78"/>
      <c r="P92" s="96"/>
      <c r="Q92" s="116"/>
      <c r="R92" s="96"/>
      <c r="S92" s="78"/>
      <c r="T92" s="78"/>
      <c r="U92" s="55"/>
      <c r="V92" s="78"/>
      <c r="W92" s="26"/>
      <c r="X92" s="24"/>
      <c r="Y92" s="24"/>
      <c r="Z92" s="26"/>
      <c r="AA92" s="26"/>
      <c r="AB92" s="26"/>
      <c r="AC92" s="26"/>
      <c r="AD92" s="42"/>
      <c r="AE92" s="40"/>
      <c r="AF92" s="40"/>
    </row>
    <row r="93" spans="1:32" s="103" customFormat="1" ht="12.75" customHeight="1" x14ac:dyDescent="0.2">
      <c r="A93" s="139">
        <v>58501</v>
      </c>
      <c r="B93" s="146" t="s">
        <v>64</v>
      </c>
      <c r="C93" s="147">
        <v>0</v>
      </c>
      <c r="D93" s="94">
        <v>1000</v>
      </c>
      <c r="E93" s="94"/>
      <c r="F93" s="119"/>
      <c r="G93" s="119"/>
      <c r="H93" s="119"/>
      <c r="I93" s="176"/>
      <c r="J93" s="176"/>
      <c r="K93" s="176"/>
      <c r="L93" s="104"/>
      <c r="M93" s="104"/>
      <c r="N93" s="105"/>
      <c r="O93" s="104"/>
      <c r="P93" s="104"/>
      <c r="Q93" s="106"/>
      <c r="R93" s="105"/>
      <c r="S93" s="104"/>
      <c r="T93" s="107"/>
      <c r="U93" s="108"/>
      <c r="V93" s="104"/>
      <c r="W93" s="109"/>
      <c r="X93" s="110"/>
      <c r="Y93" s="109"/>
      <c r="Z93" s="109"/>
      <c r="AA93" s="109"/>
      <c r="AB93" s="109"/>
      <c r="AC93" s="109"/>
      <c r="AD93" s="111"/>
      <c r="AE93" s="112"/>
      <c r="AF93" s="112"/>
    </row>
    <row r="94" spans="1:32" ht="12.75" customHeight="1" x14ac:dyDescent="0.2">
      <c r="A94" s="155" t="s">
        <v>29</v>
      </c>
      <c r="B94" s="145" t="s">
        <v>47</v>
      </c>
      <c r="C94" s="152"/>
      <c r="D94" s="117"/>
      <c r="E94" s="117"/>
      <c r="F94" s="177"/>
      <c r="G94" s="177"/>
      <c r="H94" s="129"/>
      <c r="I94" s="117"/>
      <c r="J94" s="117"/>
      <c r="K94" s="117"/>
      <c r="L94" s="91"/>
      <c r="M94" s="72"/>
      <c r="N94" s="72"/>
      <c r="O94" s="72"/>
      <c r="P94" s="91"/>
      <c r="Q94" s="99"/>
      <c r="R94" s="72"/>
      <c r="S94" s="72"/>
      <c r="T94" s="80"/>
      <c r="U94" s="63"/>
      <c r="V94" s="72"/>
      <c r="W94" s="31">
        <v>3890</v>
      </c>
      <c r="X94" s="47">
        <v>31.65</v>
      </c>
      <c r="Y94" s="24">
        <v>0</v>
      </c>
      <c r="Z94" s="26">
        <v>0</v>
      </c>
      <c r="AA94" s="26">
        <v>0</v>
      </c>
      <c r="AB94" s="26">
        <v>0</v>
      </c>
      <c r="AC94" s="26">
        <v>0</v>
      </c>
      <c r="AD94" s="42"/>
      <c r="AE94" s="40"/>
      <c r="AF94" s="40"/>
    </row>
    <row r="95" spans="1:32" s="11" customFormat="1" ht="12.75" customHeight="1" x14ac:dyDescent="0.2">
      <c r="A95" s="148"/>
      <c r="B95" s="139" t="s">
        <v>37</v>
      </c>
      <c r="C95" s="156">
        <f>SUM(C76:C94)</f>
        <v>45100</v>
      </c>
      <c r="D95" s="130">
        <f>SUM(D76:D94)</f>
        <v>47200</v>
      </c>
      <c r="E95" s="130">
        <f>SUM(E76:E94)</f>
        <v>26477.96</v>
      </c>
      <c r="F95" s="130">
        <f>SUM(F76:F94)</f>
        <v>45650</v>
      </c>
      <c r="G95" s="130">
        <f>SUM(G76:G94)</f>
        <v>29022.31</v>
      </c>
      <c r="H95" s="130">
        <f>SUM(H76:H94)</f>
        <v>38609.620000000003</v>
      </c>
      <c r="I95" s="131">
        <f>SUM(I76:I94)</f>
        <v>40950</v>
      </c>
      <c r="J95" s="131">
        <f>SUM(J76:J94)</f>
        <v>30872.969999999998</v>
      </c>
      <c r="K95" s="131">
        <f>SUM(K76:K94)</f>
        <v>43665</v>
      </c>
      <c r="L95" s="74">
        <f>SUM(L76:L94)</f>
        <v>25989.41</v>
      </c>
      <c r="M95" s="74">
        <f>SUM(M76:M94)</f>
        <v>44965</v>
      </c>
      <c r="N95" s="74">
        <f>SUM(N76:N94)</f>
        <v>36056.949999999997</v>
      </c>
      <c r="O95" s="74">
        <f>SUM(O76:O94)</f>
        <v>41200</v>
      </c>
      <c r="P95" s="74">
        <f>SUM(P76:P94)</f>
        <v>30712.65</v>
      </c>
      <c r="Q95" s="100">
        <f>SUM(Q76:Q94)</f>
        <v>38457</v>
      </c>
      <c r="R95" s="74">
        <f>SUM(R76:R94)</f>
        <v>32492.32</v>
      </c>
      <c r="S95" s="74">
        <f>SUM(S76:S94)</f>
        <v>39035</v>
      </c>
      <c r="T95" s="81">
        <f>SUM(T76:T94)</f>
        <v>30448.500000000004</v>
      </c>
      <c r="U95" s="39">
        <f>SUM(U76:U92)</f>
        <v>34480</v>
      </c>
      <c r="V95" s="74">
        <f>SUM(V76:V94)</f>
        <v>33135.33</v>
      </c>
      <c r="W95" s="38">
        <f>SUM(W76:W94)</f>
        <v>31335</v>
      </c>
      <c r="X95" s="75">
        <f>SUM(X76:X94)</f>
        <v>30790.200000000004</v>
      </c>
      <c r="Y95" s="38">
        <f>SUM(Y76:Y94)</f>
        <v>33659.519999999997</v>
      </c>
      <c r="Z95" s="38">
        <f>SUM(Z76:Z94)</f>
        <v>35315.269999999997</v>
      </c>
      <c r="AA95" s="38">
        <f>SUM(AA76:AA94)</f>
        <v>31614.75</v>
      </c>
      <c r="AB95" s="38">
        <f>SUM(AB76:AB94)</f>
        <v>23964.139999999996</v>
      </c>
      <c r="AC95" s="38">
        <f>SUM(AC76:AC94)</f>
        <v>21700.83</v>
      </c>
      <c r="AD95" s="76"/>
    </row>
    <row r="96" spans="1:32" ht="12.75" customHeight="1" x14ac:dyDescent="0.2">
      <c r="A96" s="157"/>
      <c r="B96" s="143"/>
      <c r="C96" s="143"/>
      <c r="D96" s="178"/>
      <c r="E96" s="178"/>
      <c r="F96" s="179"/>
      <c r="G96" s="179"/>
      <c r="H96" s="129"/>
      <c r="I96" s="71"/>
      <c r="J96" s="71"/>
      <c r="K96" s="71"/>
      <c r="L96" s="91"/>
      <c r="M96" s="66"/>
      <c r="N96" s="91"/>
      <c r="O96" s="66"/>
      <c r="P96" s="91"/>
      <c r="Q96" s="64"/>
      <c r="R96" s="85"/>
      <c r="S96" s="64"/>
      <c r="T96" s="10"/>
      <c r="U96" s="10"/>
      <c r="V96" s="64"/>
      <c r="W96" s="37"/>
      <c r="Z96" s="18"/>
      <c r="AA96" s="19"/>
      <c r="AB96" s="19"/>
      <c r="AC96" s="19"/>
      <c r="AD96" s="41"/>
    </row>
    <row r="97" spans="1:30" s="11" customFormat="1" ht="12.75" customHeight="1" x14ac:dyDescent="0.2">
      <c r="A97" s="148"/>
      <c r="B97" s="139" t="s">
        <v>33</v>
      </c>
      <c r="C97" s="158">
        <f>C74+C75-C95</f>
        <v>401.25</v>
      </c>
      <c r="D97" s="131">
        <f>D74-D95</f>
        <v>-19700</v>
      </c>
      <c r="E97" s="131">
        <f>E74-E95</f>
        <v>26772.36</v>
      </c>
      <c r="F97" s="131">
        <f>F74-F95</f>
        <v>-20275</v>
      </c>
      <c r="G97" s="131">
        <f>G74-G95</f>
        <v>-708.26000000000204</v>
      </c>
      <c r="H97" s="131">
        <f>H74-H95</f>
        <v>-10735.54</v>
      </c>
      <c r="I97" s="131">
        <f>I74-I95</f>
        <v>-14575</v>
      </c>
      <c r="J97" s="131">
        <f>J74-J95</f>
        <v>-7003.2799999999988</v>
      </c>
      <c r="K97" s="131">
        <f>K74-K95</f>
        <v>-19340</v>
      </c>
      <c r="L97" s="74">
        <f>L74-L95</f>
        <v>-1901.5799999999981</v>
      </c>
      <c r="M97" s="74">
        <f>M74-M95</f>
        <v>-20640</v>
      </c>
      <c r="N97" s="74">
        <f>N74-N95</f>
        <v>-9466.0299999999988</v>
      </c>
      <c r="O97" s="74">
        <f>O74-O95</f>
        <v>-18425</v>
      </c>
      <c r="P97" s="74">
        <f>P74-P95</f>
        <v>-6478.6500000000015</v>
      </c>
      <c r="Q97" s="73">
        <f>Q74-Q95</f>
        <v>-15682</v>
      </c>
      <c r="R97" s="73">
        <f>R74-R95</f>
        <v>-10419.59</v>
      </c>
      <c r="S97" s="73">
        <f>S74-S95</f>
        <v>-17035</v>
      </c>
      <c r="T97" s="82">
        <f>T74-T95</f>
        <v>-7588.5400000000045</v>
      </c>
      <c r="U97" s="39">
        <f>SUM(U74-U95)</f>
        <v>-13460</v>
      </c>
      <c r="V97" s="74">
        <f>V74-V95</f>
        <v>-10782.570000000003</v>
      </c>
      <c r="W97" s="38">
        <f>SUM(W74-W95)</f>
        <v>-10290</v>
      </c>
      <c r="X97" s="75">
        <f>SUM(X74-X95)</f>
        <v>-8726.3300000000054</v>
      </c>
      <c r="Y97" s="38">
        <f>SUM(Y74-Y95)</f>
        <v>-11891.159999999996</v>
      </c>
      <c r="Z97" s="38">
        <f>SUM(Z74-Z95)</f>
        <v>-14438.719999999998</v>
      </c>
      <c r="AA97" s="38">
        <f>SUM(AA74-AA95)</f>
        <v>-11485.54</v>
      </c>
      <c r="AB97" s="38">
        <f>SUM(AB74-AB95)</f>
        <v>-3043.2499999999964</v>
      </c>
      <c r="AC97" s="38">
        <f>SUM(AC74-AC95)</f>
        <v>-534.09000000000015</v>
      </c>
      <c r="AD97" s="76"/>
    </row>
    <row r="98" spans="1:30" ht="12.75" customHeight="1" x14ac:dyDescent="0.2">
      <c r="D98" s="161"/>
      <c r="E98" s="161"/>
      <c r="I98" s="161"/>
      <c r="J98" s="161"/>
      <c r="M98" s="9"/>
      <c r="N98" s="85"/>
      <c r="O98" s="9"/>
      <c r="P98" s="95"/>
      <c r="Q98" s="9"/>
      <c r="R98" s="95"/>
      <c r="W98" s="23"/>
      <c r="AA98" s="21"/>
      <c r="AB98" s="16"/>
      <c r="AC98" s="9"/>
      <c r="AD98" s="41"/>
    </row>
    <row r="99" spans="1:30" ht="12.75" customHeight="1" x14ac:dyDescent="0.35">
      <c r="B99" s="154" t="s">
        <v>19</v>
      </c>
      <c r="C99" s="149">
        <f>C95+C68+C51+C32</f>
        <v>142650</v>
      </c>
      <c r="D99" s="120">
        <f>D95+D68+D51+D32</f>
        <v>123775</v>
      </c>
      <c r="E99" s="120">
        <f>E95+E68+E51+E32</f>
        <v>56215.11</v>
      </c>
      <c r="F99" s="120">
        <f>F95+F68+F51+F32</f>
        <v>116825</v>
      </c>
      <c r="G99" s="120">
        <f>G95+G68+G51+G32</f>
        <v>111237.12000000001</v>
      </c>
      <c r="H99" s="120">
        <f>H95+H68+H51+H32</f>
        <v>103254.77000000002</v>
      </c>
      <c r="I99" s="120">
        <f>I95+I68+I51+I32</f>
        <v>109250</v>
      </c>
      <c r="J99" s="120">
        <f>J95+J68+J51+J32</f>
        <v>96347.23</v>
      </c>
      <c r="K99" s="120">
        <f>K95+K68+K51+K32</f>
        <v>108215</v>
      </c>
      <c r="L99" s="68">
        <f>L95+L68+L51+L32</f>
        <v>26964.239999999998</v>
      </c>
      <c r="M99" s="84">
        <f>M95+M68+M51+M32</f>
        <v>109890</v>
      </c>
      <c r="N99" s="84">
        <f>N95+N68+N51+N32</f>
        <v>94758.569999999992</v>
      </c>
      <c r="O99" s="84">
        <f>O95+O68+O51+O32</f>
        <v>102100</v>
      </c>
      <c r="P99" s="84">
        <f>P95+P68+P51+P32</f>
        <v>81657.679999999993</v>
      </c>
      <c r="Q99" s="84">
        <f>Q95+Q68+Q51+Q32</f>
        <v>91782</v>
      </c>
      <c r="R99" s="84">
        <f>R95+R51+R32</f>
        <v>79824.539999999994</v>
      </c>
      <c r="S99" s="65">
        <f>S95+S68+S51+S32</f>
        <v>94560</v>
      </c>
      <c r="T99" s="65">
        <f>T95+T68+T51+T32</f>
        <v>72133.349999999991</v>
      </c>
      <c r="U99" s="32">
        <f>SUM(U32+U51+U68+U95)</f>
        <v>80930</v>
      </c>
      <c r="V99" s="32">
        <f>V95+V68+V51+V32</f>
        <v>70976.350000000006</v>
      </c>
      <c r="W99" s="32">
        <f>SUM(W32+W51+W68+W95)</f>
        <v>78020</v>
      </c>
      <c r="X99" s="52">
        <f>SUM(X32+X51+X68+X95)</f>
        <v>91152.81</v>
      </c>
      <c r="Y99" s="32">
        <f>SUM(Y32+Y51+Y68+Y95)</f>
        <v>89583.579999999987</v>
      </c>
      <c r="Z99" s="32">
        <f>SUM(Z32+Z51+Z68+Z95)</f>
        <v>91227.389999999985</v>
      </c>
      <c r="AA99" s="33">
        <f>AA95+AA68+AA51+AA32</f>
        <v>73903.159999999989</v>
      </c>
      <c r="AB99" s="33">
        <f>AB95+AB68+AB51+AB32</f>
        <v>60089.45</v>
      </c>
      <c r="AC99" s="33">
        <f>AC95+AC68+AC51+AC32</f>
        <v>53764.93</v>
      </c>
      <c r="AD99" s="41"/>
    </row>
    <row r="100" spans="1:30" ht="12.75" customHeight="1" x14ac:dyDescent="0.35">
      <c r="B100" s="154" t="s">
        <v>53</v>
      </c>
      <c r="C100" s="159">
        <f>C17</f>
        <v>143051.25</v>
      </c>
      <c r="D100" s="132">
        <f>D17</f>
        <v>105375</v>
      </c>
      <c r="E100" s="132">
        <f>E17</f>
        <v>118880.20999999999</v>
      </c>
      <c r="F100" s="132">
        <f>F17</f>
        <v>105875</v>
      </c>
      <c r="G100" s="132">
        <f>G17</f>
        <v>94260.77</v>
      </c>
      <c r="H100" s="132">
        <f>H17</f>
        <v>100645.30000000002</v>
      </c>
      <c r="I100" s="120">
        <f>I17</f>
        <v>91875</v>
      </c>
      <c r="J100" s="120">
        <f>J17</f>
        <v>93413.440000000002</v>
      </c>
      <c r="K100" s="120">
        <f>K17</f>
        <v>76775</v>
      </c>
      <c r="L100" s="68">
        <f>L17</f>
        <v>48533.219999999994</v>
      </c>
      <c r="M100" s="84">
        <f>M17</f>
        <v>104775</v>
      </c>
      <c r="N100" s="84">
        <f>N17</f>
        <v>120401.54</v>
      </c>
      <c r="O100" s="84"/>
      <c r="P100" s="84"/>
      <c r="Q100" s="84"/>
      <c r="R100" s="84"/>
      <c r="S100" s="3"/>
      <c r="T100" s="3"/>
      <c r="U100" s="3"/>
      <c r="V100" s="3"/>
      <c r="W100" s="35"/>
      <c r="AA100" s="8"/>
    </row>
    <row r="101" spans="1:30" ht="12.75" customHeight="1" x14ac:dyDescent="0.2">
      <c r="B101" s="154" t="s">
        <v>52</v>
      </c>
      <c r="C101" s="159">
        <f>C99-C100</f>
        <v>-401.25</v>
      </c>
      <c r="D101" s="132">
        <f>D99-D100</f>
        <v>18400</v>
      </c>
      <c r="E101" s="132">
        <f>E99-E100</f>
        <v>-62665.099999999991</v>
      </c>
      <c r="F101" s="132">
        <f>F99-F100</f>
        <v>10950</v>
      </c>
      <c r="G101" s="132">
        <f>G99-G100</f>
        <v>16976.350000000006</v>
      </c>
      <c r="H101" s="125"/>
      <c r="I101" s="120">
        <v>17375</v>
      </c>
      <c r="J101" s="120"/>
      <c r="K101" s="120"/>
      <c r="L101" s="68"/>
      <c r="M101" s="9">
        <v>5115</v>
      </c>
      <c r="N101" s="85"/>
      <c r="O101" s="9"/>
      <c r="P101" s="95"/>
      <c r="Q101" s="9"/>
      <c r="R101" s="95"/>
      <c r="W101" s="23"/>
    </row>
    <row r="102" spans="1:30" ht="12.75" customHeight="1" x14ac:dyDescent="0.2">
      <c r="B102" s="154" t="s">
        <v>20</v>
      </c>
      <c r="C102" s="149">
        <f>C100-C99+C101</f>
        <v>0</v>
      </c>
      <c r="D102" s="120">
        <f>D100-D99+D101</f>
        <v>0</v>
      </c>
      <c r="E102" s="120">
        <f>E100-E99+E101</f>
        <v>0</v>
      </c>
      <c r="F102" s="120">
        <f t="shared" ref="F102:H102" si="26">F100-F99+F101</f>
        <v>0</v>
      </c>
      <c r="G102" s="120">
        <f t="shared" si="26"/>
        <v>0</v>
      </c>
      <c r="H102" s="120">
        <f t="shared" si="26"/>
        <v>-2609.4700000000012</v>
      </c>
      <c r="I102" s="120">
        <f>I100-I99+I101</f>
        <v>0</v>
      </c>
      <c r="J102" s="120">
        <f t="shared" ref="J102" si="27">J100-J99</f>
        <v>-2933.7899999999936</v>
      </c>
      <c r="K102" s="120">
        <f>K100-K99</f>
        <v>-31440</v>
      </c>
      <c r="L102" s="68">
        <f>L100-L99</f>
        <v>21568.979999999996</v>
      </c>
      <c r="M102" s="84">
        <f>M100-M99+M101</f>
        <v>0</v>
      </c>
      <c r="N102" s="84">
        <f>N100-N99+N101</f>
        <v>25642.97</v>
      </c>
      <c r="O102" s="84">
        <f>O17-O99</f>
        <v>-6825</v>
      </c>
      <c r="P102" s="84">
        <f>P17-P99</f>
        <v>19586.949999999997</v>
      </c>
      <c r="Q102" s="84">
        <f>Q17-Q99</f>
        <v>-6007</v>
      </c>
      <c r="R102" s="84">
        <f>R17-R99</f>
        <v>11509.86</v>
      </c>
      <c r="S102" s="65">
        <f>S17-S99</f>
        <v>-3060</v>
      </c>
      <c r="T102" s="65">
        <f>T17-T99</f>
        <v>19274.97</v>
      </c>
      <c r="U102" s="23">
        <f>SUM(U17-U99)</f>
        <v>-3930</v>
      </c>
      <c r="V102" s="23">
        <f>V17-V99</f>
        <v>1409.0800000000017</v>
      </c>
      <c r="W102" s="23">
        <f>SUM(W17-W99)</f>
        <v>1000</v>
      </c>
      <c r="X102" s="53">
        <f>SUM(X17-X99)</f>
        <v>-15129.439999999988</v>
      </c>
      <c r="Y102" s="23">
        <f>SUM(Y17-Y99)</f>
        <v>-3370.5199999999895</v>
      </c>
      <c r="Z102" s="23">
        <f>SUM(Z17-Z99)</f>
        <v>-18603.119999999981</v>
      </c>
      <c r="AA102" s="23">
        <f>AA17-AA99</f>
        <v>-12064.169999999991</v>
      </c>
      <c r="AB102" s="23">
        <f>AB17-AB99</f>
        <v>-3492.5599999999904</v>
      </c>
      <c r="AC102" s="23">
        <f>AC17-AC99</f>
        <v>1554.9400000000023</v>
      </c>
    </row>
    <row r="103" spans="1:30" ht="12.75" customHeight="1" x14ac:dyDescent="0.2">
      <c r="R103" s="90"/>
    </row>
  </sheetData>
  <phoneticPr fontId="0" type="noConversion"/>
  <printOptions gridLines="1"/>
  <pageMargins left="0.5" right="0.5" top="0.5" bottom="0.5" header="0.25" footer="0.25"/>
  <pageSetup scale="20" fitToHeight="0" orientation="portrait" r:id="rId1"/>
  <headerFooter alignWithMargins="0">
    <oddHeader>&amp;C2025 FINAL MTCMA Budget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Town of Oakland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Town of Oakland</dc:creator>
  <cp:lastModifiedBy>Melissa White</cp:lastModifiedBy>
  <cp:lastPrinted>2024-11-13T14:04:12Z</cp:lastPrinted>
  <dcterms:created xsi:type="dcterms:W3CDTF">2006-11-28T19:56:42Z</dcterms:created>
  <dcterms:modified xsi:type="dcterms:W3CDTF">2024-11-21T20:24:34Z</dcterms:modified>
</cp:coreProperties>
</file>